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<sst xmlns="http://schemas.openxmlformats.org/spreadsheetml/2006/main" count="166" uniqueCount="113">
  <si>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</si>
  <si>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</si>
  <si>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</si>
  <si>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</si>
  <si>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</si>
  <si>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</si>
  <si>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</si>
  <si>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</si>
  <si>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</si>
  <si>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</si>
  <si>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</si>
  <si>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</si>
  <si>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</si>
  <si>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</si>
  <si>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</si>
  <si>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</si>
  <si>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</si>
  <si>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</si>
  <si>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</si>
  <si>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</si>
  <si>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</si>
  <si>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</si>
  <si>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</si>
  <si>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</si>
  <si>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</si>
  <si>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</si>
  <si>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</si>
  <si>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</si>
  <si>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</si>
  <si>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</si>
  <si>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</si>
  <si>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</si>
  <si>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</si>
  <si>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</si>
  <si>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</si>
  <si>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</si>
  <si>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</si>
  <si>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</si>
  <si>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</si>
  <si>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</si>
  <si>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</si>
  <si>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</si>
  <si>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</si>
  <si>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</si>
  <si>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</si>
  <si>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</si>
  <si>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</si>
  <si>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</si>
  <si>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</si>
  <si>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</si>
  <si>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</si>
  <si>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</si>
  <si>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</si>
  <si>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</si>
  <si>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</si>
  <si>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</si>
  <si>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</si>
  <si>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</si>
  <si>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</si>
  <si>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</si>
  <si>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</si>
  <si>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</si>
  <si>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</si>
  <si>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</si>
  <si>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</si>
  <si>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</si>
  <si>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</si>
  <si>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</si>
  <si>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</si>
  <si>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</si>
  <si>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</si>
  <si>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</si>
  <si>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</si>
  <si>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</si>
  <si>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</si>
  <si>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</si>
  <si>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</si>
  <si>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</si>
  <si>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</si>
  <si>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</si>
  <si>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</si>
  <si>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</si>
  <si>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</si>
  <si>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</si>
  <si>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</si>
  <si>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</si>
  <si>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</si>
  <si>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</si>
  <si>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</si>
  <si>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</si>
  <si>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</si>
  <si>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</si>
  <si>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</si>
  <si>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</si>
  <si>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</si>
  <si>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</si>
  <si>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</si>
  <si>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</si>
  <si>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</si>
  <si>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</si>
  <si>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</si>
  <si>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</si>
  <si>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</si>
  <si>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</si>
  <si>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</si>
  <si>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</si>
  <si>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</si>
  <si>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</si>
  <si>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</si>
  <si>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</si>
  <si>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лютий, тис.грн.</t>
  </si>
  <si>
    <t>Відхилення від тимчасового плану лютого, тис.грн.</t>
  </si>
  <si>
    <t>Аналіз використання коштів загального фонду міського бюджету станом на 01.02.2019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</si>
</sst>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6" borderId="10" xfId="0" applyNumberFormat="1" applyFont="1" applyFill="1" applyBorder="1" applyAlignment="1">
      <alignment/>
    </xf>
    <xf numFmtId="190" fontId="4" fillId="36" borderId="12" xfId="0" applyNumberFormat="1" applyFont="1" applyFill="1" applyBorder="1" applyAlignment="1">
      <alignment/>
    </xf>
    <xf numFmtId="190" fontId="5" fillId="36" borderId="10" xfId="0" applyNumberFormat="1" applyFont="1" applyFill="1" applyBorder="1" applyAlignment="1">
      <alignment wrapText="1"/>
    </xf>
    <xf numFmtId="190" fontId="5" fillId="36" borderId="14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1188.6</c:v>
                </c:pt>
                <c:pt idx="3">
                  <c:v>1924.8000000000015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15290.5</c:v>
                </c:pt>
                <c:pt idx="1">
                  <c:v>15161.699999999999</c:v>
                </c:pt>
                <c:pt idx="3">
                  <c:v>128.8000000000011</c:v>
                </c:pt>
              </c:numCache>
            </c:numRef>
          </c:val>
          <c:shape val="box"/>
        </c:ser>
        <c:shape val="box"/>
        <c:axId val="49909300"/>
        <c:axId val="46530517"/>
      </c:bar3D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09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209846.8</c:v>
                </c:pt>
                <c:pt idx="1">
                  <c:v>81122.49999999999</c:v>
                </c:pt>
                <c:pt idx="2">
                  <c:v>164753.3</c:v>
                </c:pt>
                <c:pt idx="3">
                  <c:v>13313.7</c:v>
                </c:pt>
                <c:pt idx="4">
                  <c:v>27896.7</c:v>
                </c:pt>
                <c:pt idx="5">
                  <c:v>3222.6</c:v>
                </c:pt>
                <c:pt idx="6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58760.600000000006</c:v>
                </c:pt>
                <c:pt idx="1">
                  <c:v>10941.300000000001</c:v>
                </c:pt>
                <c:pt idx="2">
                  <c:v>56107.8</c:v>
                </c:pt>
                <c:pt idx="3">
                  <c:v>1648.8999999999999</c:v>
                </c:pt>
                <c:pt idx="5">
                  <c:v>998.3</c:v>
                </c:pt>
                <c:pt idx="6">
                  <c:v>5.600000000003092</c:v>
                </c:pt>
              </c:numCache>
            </c:numRef>
          </c:val>
          <c:shape val="box"/>
        </c:ser>
        <c:shape val="box"/>
        <c:axId val="16121470"/>
        <c:axId val="10875503"/>
      </c:bar3D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214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96125.59999999999</c:v>
                </c:pt>
                <c:pt idx="1">
                  <c:v>51114.4</c:v>
                </c:pt>
                <c:pt idx="2">
                  <c:v>249.8</c:v>
                </c:pt>
                <c:pt idx="3">
                  <c:v>95875.79999999999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24016.3</c:v>
                </c:pt>
                <c:pt idx="1">
                  <c:v>17038</c:v>
                </c:pt>
                <c:pt idx="3">
                  <c:v>24016.3</c:v>
                </c:pt>
              </c:numCache>
            </c:numRef>
          </c:val>
          <c:shape val="box"/>
        </c:ser>
        <c:shape val="box"/>
        <c:axId val="30770664"/>
        <c:axId val="8500521"/>
      </c:bar3D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70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1311.5</c:v>
                </c:pt>
                <c:pt idx="1">
                  <c:v>1016.3000000000001</c:v>
                </c:pt>
                <c:pt idx="2">
                  <c:v>12</c:v>
                </c:pt>
                <c:pt idx="4">
                  <c:v>43</c:v>
                </c:pt>
                <c:pt idx="5">
                  <c:v>5.1</c:v>
                </c:pt>
                <c:pt idx="6">
                  <c:v>235.09999999999994</c:v>
                </c:pt>
              </c:numCache>
            </c:numRef>
          </c:val>
          <c:shape val="box"/>
        </c:ser>
        <c:shape val="box"/>
        <c:axId val="9395826"/>
        <c:axId val="17453571"/>
      </c:bar3D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9498.7</c:v>
                </c:pt>
                <c:pt idx="1">
                  <c:v>5388.9</c:v>
                </c:pt>
                <c:pt idx="2">
                  <c:v>274.8</c:v>
                </c:pt>
                <c:pt idx="3">
                  <c:v>507.8</c:v>
                </c:pt>
                <c:pt idx="4">
                  <c:v>870</c:v>
                </c:pt>
                <c:pt idx="5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2125.1</c:v>
                </c:pt>
                <c:pt idx="1">
                  <c:v>1702.1</c:v>
                </c:pt>
                <c:pt idx="2">
                  <c:v>10.8</c:v>
                </c:pt>
                <c:pt idx="5">
                  <c:v>412.2</c:v>
                </c:pt>
              </c:numCache>
            </c:numRef>
          </c:val>
          <c:shape val="box"/>
        </c:ser>
        <c:shape val="box"/>
        <c:axId val="22864412"/>
        <c:axId val="4453117"/>
      </c:bar3D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3117"/>
        <c:crosses val="autoZero"/>
        <c:auto val="1"/>
        <c:lblOffset val="100"/>
        <c:tickLblSkip val="2"/>
        <c:noMultiLvlLbl val="0"/>
      </c:catAx>
      <c:valAx>
        <c:axId val="4453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4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4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4"/>
                <c:pt idx="0">
                  <c:v>2261.1</c:v>
                </c:pt>
                <c:pt idx="1">
                  <c:v>936.2</c:v>
                </c:pt>
                <c:pt idx="2">
                  <c:v>351.7</c:v>
                </c:pt>
                <c:pt idx="3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4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4"/>
                <c:pt idx="0">
                  <c:v>275.3</c:v>
                </c:pt>
                <c:pt idx="1">
                  <c:v>275.3</c:v>
                </c:pt>
                <c:pt idx="3">
                  <c:v>0</c:v>
                </c:pt>
              </c:numCache>
            </c:numRef>
          </c:val>
          <c:shape val="box"/>
        </c:ser>
        <c:shape val="box"/>
        <c:axId val="40078054"/>
        <c:axId val="25158167"/>
      </c:bar3D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8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1846.2</c:v>
                </c:pt>
              </c:numCache>
            </c:numRef>
          </c:val>
          <c:shape val="box"/>
        </c:ser>
        <c:shape val="box"/>
        <c:axId val="25096912"/>
        <c:axId val="24545617"/>
      </c:bar3D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209846.8</c:v>
                </c:pt>
                <c:pt idx="1">
                  <c:v>96125.59999999999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58760.600000000006</c:v>
                </c:pt>
                <c:pt idx="1">
                  <c:v>24016.3</c:v>
                </c:pt>
                <c:pt idx="2">
                  <c:v>1311.5</c:v>
                </c:pt>
                <c:pt idx="3">
                  <c:v>2125.1</c:v>
                </c:pt>
                <c:pt idx="4">
                  <c:v>275.3</c:v>
                </c:pt>
                <c:pt idx="5">
                  <c:v>15290.5</c:v>
                </c:pt>
                <c:pt idx="6">
                  <c:v>1846.2</c:v>
                </c:pt>
              </c:numCache>
            </c:numRef>
          </c:val>
          <c:shape val="box"/>
        </c:ser>
        <c:shape val="box"/>
        <c:axId val="19583962"/>
        <c:axId val="42037931"/>
      </c:bar3D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226542.90000000002</c:v>
                </c:pt>
                <c:pt idx="1">
                  <c:v>35526.200000000004</c:v>
                </c:pt>
                <c:pt idx="2">
                  <c:v>13639.7</c:v>
                </c:pt>
                <c:pt idx="3">
                  <c:v>18430.100000000002</c:v>
                </c:pt>
                <c:pt idx="4">
                  <c:v>0</c:v>
                </c:pt>
                <c:pt idx="5">
                  <c:v>175294.4999999999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75375.6</c:v>
                </c:pt>
                <c:pt idx="1">
                  <c:v>158.6</c:v>
                </c:pt>
                <c:pt idx="2">
                  <c:v>1671.6999999999998</c:v>
                </c:pt>
                <c:pt idx="3">
                  <c:v>2947.7</c:v>
                </c:pt>
                <c:pt idx="4">
                  <c:v>0</c:v>
                </c:pt>
                <c:pt idx="5">
                  <c:v>36723.10000000001</c:v>
                </c:pt>
              </c:numCache>
            </c:numRef>
          </c:val>
          <c:shape val="box"/>
        </c:ser>
        <c:shape val="box"/>
        <c:axId val="42797060"/>
        <c:axId val="49629221"/>
      </c:bar3D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97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85" zoomScaleNormal="80" zoomScaleSheetLayoutView="85" workbookViewId="0" topLeftCell="A102">
      <selection activeCell="L125" sqref="L125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3" width="11.00390625" style="138" bestFit="1" customWidth="1"/>
    <col min="14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6" t="s">
        <v>112</v>
      </c>
      <c r="B1" s="166"/>
      <c r="C1" s="166"/>
      <c r="D1" s="166"/>
      <c r="E1" s="166"/>
      <c r="F1" s="166"/>
      <c r="G1" s="166"/>
      <c r="H1" s="166"/>
      <c r="I1" s="16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70" t="s">
        <v>40</v>
      </c>
      <c r="B3" s="173" t="s">
        <v>110</v>
      </c>
      <c r="C3" s="167" t="s">
        <v>106</v>
      </c>
      <c r="D3" s="167" t="s">
        <v>22</v>
      </c>
      <c r="E3" s="167" t="s">
        <v>21</v>
      </c>
      <c r="F3" s="167" t="s">
        <v>107</v>
      </c>
      <c r="G3" s="167" t="s">
        <v>108</v>
      </c>
      <c r="H3" s="167" t="s">
        <v>111</v>
      </c>
      <c r="I3" s="167" t="s">
        <v>109</v>
      </c>
    </row>
    <row r="4" spans="1:9" ht="24.75" customHeight="1">
      <c r="A4" s="171"/>
      <c r="B4" s="174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72"/>
      <c r="B5" s="175"/>
      <c r="C5" s="169"/>
      <c r="D5" s="169"/>
      <c r="E5" s="169"/>
      <c r="F5" s="169"/>
      <c r="G5" s="169"/>
      <c r="H5" s="169"/>
      <c r="I5" s="169"/>
      <c r="J5" s="151"/>
    </row>
    <row r="6" spans="1:11" ht="18.75" thickBot="1">
      <c r="A6" s="18" t="s">
        <v>26</v>
      </c>
      <c r="B6" s="35">
        <v>139897.8</v>
      </c>
      <c r="C6" s="36">
        <f>206417.4+3429.4</f>
        <v>209846.8</v>
      </c>
      <c r="D6" s="37">
        <f>11099.2+9623.1+1.9+134.7+531.1+44.4+1464.8+43.3+356.7+16648.5+1044.7+22.2+15069.2+2403.3+273.5</f>
        <v>58760.600000000006</v>
      </c>
      <c r="E6" s="3">
        <f>D6/D154*100</f>
        <v>50.2757179146913</v>
      </c>
      <c r="F6" s="3">
        <f>D6/B6*100</f>
        <v>42.0025189817138</v>
      </c>
      <c r="G6" s="3">
        <f aca="true" t="shared" si="0" ref="G6:G43">D6/C6*100</f>
        <v>28.001665977274854</v>
      </c>
      <c r="H6" s="37">
        <f>B6-D6</f>
        <v>81137.19999999998</v>
      </c>
      <c r="I6" s="37">
        <f aca="true" t="shared" si="1" ref="I6:I43">C6-D6</f>
        <v>151086.19999999998</v>
      </c>
      <c r="J6" s="152"/>
      <c r="K6" s="153">
        <f>H6-H7</f>
        <v>46039.29999999999</v>
      </c>
    </row>
    <row r="7" spans="1:12" s="85" customFormat="1" ht="18.75">
      <c r="A7" s="128" t="s">
        <v>81</v>
      </c>
      <c r="B7" s="129">
        <v>46039.2</v>
      </c>
      <c r="C7" s="130">
        <f>65629.4+3429.4+12063.7</f>
        <v>81122.49999999999</v>
      </c>
      <c r="D7" s="131">
        <f>9623.1+1044.7+273.5</f>
        <v>10941.300000000001</v>
      </c>
      <c r="E7" s="132">
        <f>D7/D6*100</f>
        <v>18.620129814875956</v>
      </c>
      <c r="F7" s="132">
        <f>D7/B7*100</f>
        <v>23.765182713861236</v>
      </c>
      <c r="G7" s="132">
        <f>D7/C7*100</f>
        <v>13.487380196616233</v>
      </c>
      <c r="H7" s="131">
        <f>B7-D7</f>
        <v>35097.899999999994</v>
      </c>
      <c r="I7" s="131">
        <f t="shared" si="1"/>
        <v>70181.19999999998</v>
      </c>
      <c r="J7" s="147"/>
      <c r="K7" s="153"/>
      <c r="L7" s="127"/>
    </row>
    <row r="8" spans="1:12" s="151" customFormat="1" ht="18">
      <c r="A8" s="92" t="s">
        <v>3</v>
      </c>
      <c r="B8" s="114">
        <v>108311.5</v>
      </c>
      <c r="C8" s="115">
        <f>161323.9+3429.4</f>
        <v>164753.3</v>
      </c>
      <c r="D8" s="94">
        <f>20722.3+1.9+16592.9+1044.7+15069.2+2403.3+273.5</f>
        <v>56107.8</v>
      </c>
      <c r="E8" s="96">
        <f>D8/D6*100</f>
        <v>95.48541029193031</v>
      </c>
      <c r="F8" s="96">
        <f>D8/B8*100</f>
        <v>51.80225553149943</v>
      </c>
      <c r="G8" s="96">
        <f t="shared" si="0"/>
        <v>34.05564562287979</v>
      </c>
      <c r="H8" s="94">
        <f>B8-D8</f>
        <v>52203.7</v>
      </c>
      <c r="I8" s="94">
        <f t="shared" si="1"/>
        <v>108645.49999999999</v>
      </c>
      <c r="J8" s="152"/>
      <c r="K8" s="153"/>
      <c r="L8" s="127"/>
    </row>
    <row r="9" spans="1:12" s="151" customFormat="1" ht="18" hidden="1">
      <c r="A9" s="92" t="s">
        <v>2</v>
      </c>
      <c r="B9" s="114"/>
      <c r="C9" s="115"/>
      <c r="D9" s="94"/>
      <c r="E9" s="116">
        <f>D9/D6*100</f>
        <v>0</v>
      </c>
      <c r="F9" s="96" t="e">
        <f>D9/B9*100</f>
        <v>#DIV/0!</v>
      </c>
      <c r="G9" s="96" t="e">
        <f t="shared" si="0"/>
        <v>#DIV/0!</v>
      </c>
      <c r="H9" s="94">
        <f aca="true" t="shared" si="2" ref="H9:H43">B9-D9</f>
        <v>0</v>
      </c>
      <c r="I9" s="94">
        <f t="shared" si="1"/>
        <v>0</v>
      </c>
      <c r="J9" s="152"/>
      <c r="K9" s="153"/>
      <c r="L9" s="127"/>
    </row>
    <row r="10" spans="1:12" s="151" customFormat="1" ht="18">
      <c r="A10" s="92" t="s">
        <v>1</v>
      </c>
      <c r="B10" s="114">
        <v>9061.4</v>
      </c>
      <c r="C10" s="115">
        <f>13313.7</f>
        <v>13313.7</v>
      </c>
      <c r="D10" s="133">
        <f>525.8+44.4+601.2+43.3+356.4+55.6+22.2</f>
        <v>1648.8999999999999</v>
      </c>
      <c r="E10" s="96">
        <f>D10/D6*100</f>
        <v>2.8061320000136143</v>
      </c>
      <c r="F10" s="96">
        <f aca="true" t="shared" si="3" ref="F10:F41">D10/B10*100</f>
        <v>18.196967356037696</v>
      </c>
      <c r="G10" s="96">
        <f t="shared" si="0"/>
        <v>12.384986893200235</v>
      </c>
      <c r="H10" s="94">
        <f t="shared" si="2"/>
        <v>7412.5</v>
      </c>
      <c r="I10" s="94">
        <f t="shared" si="1"/>
        <v>11664.800000000001</v>
      </c>
      <c r="J10" s="152"/>
      <c r="K10" s="153"/>
      <c r="L10" s="127"/>
    </row>
    <row r="11" spans="1:12" s="151" customFormat="1" ht="18">
      <c r="A11" s="92" t="s">
        <v>0</v>
      </c>
      <c r="B11" s="114">
        <v>19956.8</v>
      </c>
      <c r="C11" s="115">
        <v>27896.7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19956.8</v>
      </c>
      <c r="I11" s="94">
        <f t="shared" si="1"/>
        <v>27896.7</v>
      </c>
      <c r="J11" s="152"/>
      <c r="K11" s="153"/>
      <c r="L11" s="127"/>
    </row>
    <row r="12" spans="1:12" s="151" customFormat="1" ht="18">
      <c r="A12" s="92" t="s">
        <v>14</v>
      </c>
      <c r="B12" s="114">
        <v>2129.2</v>
      </c>
      <c r="C12" s="115">
        <v>3222.6</v>
      </c>
      <c r="D12" s="94">
        <f>134.7+863.6</f>
        <v>998.3</v>
      </c>
      <c r="E12" s="96">
        <f>D12/D6*100</f>
        <v>1.698927512653036</v>
      </c>
      <c r="F12" s="96">
        <f t="shared" si="3"/>
        <v>46.88615442419689</v>
      </c>
      <c r="G12" s="96">
        <f t="shared" si="0"/>
        <v>30.978092223670327</v>
      </c>
      <c r="H12" s="94">
        <f>B12-D12</f>
        <v>1130.8999999999999</v>
      </c>
      <c r="I12" s="94">
        <f t="shared" si="1"/>
        <v>2224.3</v>
      </c>
      <c r="J12" s="152"/>
      <c r="K12" s="153"/>
      <c r="L12" s="127"/>
    </row>
    <row r="13" spans="1:12" s="151" customFormat="1" ht="18.75" thickBot="1">
      <c r="A13" s="92" t="s">
        <v>27</v>
      </c>
      <c r="B13" s="115">
        <f>B6-B8-B9-B10-B11-B12</f>
        <v>438.8999999999878</v>
      </c>
      <c r="C13" s="115">
        <f>C6-C8-C9-C10-C11-C12</f>
        <v>660.4999999999986</v>
      </c>
      <c r="D13" s="115">
        <f>D6-D8-D9-D10-D11-D12</f>
        <v>5.600000000003092</v>
      </c>
      <c r="E13" s="96">
        <f>D13/D6*100</f>
        <v>0.009530195403047436</v>
      </c>
      <c r="F13" s="96">
        <f t="shared" si="3"/>
        <v>1.2759170653914897</v>
      </c>
      <c r="G13" s="96">
        <f t="shared" si="0"/>
        <v>0.8478425435281005</v>
      </c>
      <c r="H13" s="94">
        <f t="shared" si="2"/>
        <v>433.2999999999847</v>
      </c>
      <c r="I13" s="94">
        <f t="shared" si="1"/>
        <v>654.8999999999955</v>
      </c>
      <c r="J13" s="152"/>
      <c r="K13" s="153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7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7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7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7"/>
      <c r="K17" s="138"/>
      <c r="L17" s="138"/>
      <c r="M17" s="138"/>
    </row>
    <row r="18" spans="1:11" ht="18.75" thickBot="1">
      <c r="A18" s="18" t="s">
        <v>19</v>
      </c>
      <c r="B18" s="35">
        <v>64083.7</v>
      </c>
      <c r="C18" s="36">
        <f>101939.2-5813.6</f>
        <v>96125.59999999999</v>
      </c>
      <c r="D18" s="37">
        <f>9880.4+236.6+6978.3+6921</f>
        <v>24016.3</v>
      </c>
      <c r="E18" s="3">
        <f>D18/D154*100</f>
        <v>20.54840699643299</v>
      </c>
      <c r="F18" s="3">
        <f>D18/B18*100</f>
        <v>37.47645657163991</v>
      </c>
      <c r="G18" s="3">
        <f t="shared" si="0"/>
        <v>24.984291385437388</v>
      </c>
      <c r="H18" s="37">
        <f>B18-D18</f>
        <v>40067.399999999994</v>
      </c>
      <c r="I18" s="37">
        <f t="shared" si="1"/>
        <v>72109.29999999999</v>
      </c>
      <c r="J18" s="152"/>
      <c r="K18" s="153">
        <f>H18-H19</f>
        <v>23029.199999999997</v>
      </c>
    </row>
    <row r="19" spans="1:13" s="85" customFormat="1" ht="18.75">
      <c r="A19" s="128" t="s">
        <v>82</v>
      </c>
      <c r="B19" s="129">
        <v>34076.2</v>
      </c>
      <c r="C19" s="130">
        <f>56928-5813.6</f>
        <v>51114.4</v>
      </c>
      <c r="D19" s="131">
        <f>9880.4+236.6+6921</f>
        <v>17038</v>
      </c>
      <c r="E19" s="132">
        <f>D19/D18*100</f>
        <v>70.94348421696931</v>
      </c>
      <c r="F19" s="132">
        <f t="shared" si="3"/>
        <v>49.999706540048486</v>
      </c>
      <c r="G19" s="132">
        <f t="shared" si="0"/>
        <v>33.33307248055342</v>
      </c>
      <c r="H19" s="131">
        <f t="shared" si="2"/>
        <v>17038.199999999997</v>
      </c>
      <c r="I19" s="131">
        <f t="shared" si="1"/>
        <v>34076.4</v>
      </c>
      <c r="J19" s="147"/>
      <c r="K19" s="153"/>
      <c r="L19" s="151"/>
      <c r="M19" s="151"/>
    </row>
    <row r="20" spans="1:11" s="151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2"/>
      <c r="K20" s="153">
        <f>C20-B20</f>
        <v>0</v>
      </c>
    </row>
    <row r="21" spans="1:11" s="151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2"/>
      <c r="K21" s="153">
        <f>C21-B21</f>
        <v>0</v>
      </c>
    </row>
    <row r="22" spans="1:11" s="151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2"/>
      <c r="K22" s="153">
        <f>C22-B22</f>
        <v>0</v>
      </c>
    </row>
    <row r="23" spans="1:11" s="151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2"/>
      <c r="K23" s="153">
        <f>C23-B23</f>
        <v>0</v>
      </c>
    </row>
    <row r="24" spans="1:11" s="151" customFormat="1" ht="18">
      <c r="A24" s="92" t="s">
        <v>14</v>
      </c>
      <c r="B24" s="114">
        <v>166.6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166.6</v>
      </c>
      <c r="I24" s="94">
        <f t="shared" si="1"/>
        <v>249.8</v>
      </c>
      <c r="J24" s="152"/>
      <c r="K24" s="153">
        <f>C24-B24</f>
        <v>83.20000000000002</v>
      </c>
    </row>
    <row r="25" spans="1:11" s="151" customFormat="1" ht="18.75" thickBot="1">
      <c r="A25" s="92" t="s">
        <v>27</v>
      </c>
      <c r="B25" s="115">
        <f>B18-B24</f>
        <v>63917.1</v>
      </c>
      <c r="C25" s="115">
        <f>C18-C24</f>
        <v>95875.79999999999</v>
      </c>
      <c r="D25" s="115">
        <f>D18-D24</f>
        <v>24016.3</v>
      </c>
      <c r="E25" s="96">
        <f>D25/D18*100</f>
        <v>100</v>
      </c>
      <c r="F25" s="96">
        <f t="shared" si="3"/>
        <v>37.574139001925936</v>
      </c>
      <c r="G25" s="96">
        <f t="shared" si="0"/>
        <v>25.049386810853207</v>
      </c>
      <c r="H25" s="94">
        <f>B25-D25</f>
        <v>39900.8</v>
      </c>
      <c r="I25" s="94">
        <f t="shared" si="1"/>
        <v>71859.49999999999</v>
      </c>
      <c r="J25" s="152"/>
      <c r="K25" s="153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2"/>
      <c r="K26" s="153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2"/>
      <c r="K27" s="153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2"/>
      <c r="K28" s="153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2"/>
      <c r="K29" s="153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2"/>
      <c r="K30" s="153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2"/>
      <c r="K31" s="153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2"/>
      <c r="K32" s="153">
        <f t="shared" si="4"/>
        <v>0</v>
      </c>
    </row>
    <row r="33" spans="1:11" ht="18.75" thickBot="1">
      <c r="A33" s="18" t="s">
        <v>17</v>
      </c>
      <c r="B33" s="35">
        <v>4144.9</v>
      </c>
      <c r="C33" s="36">
        <v>6217.4</v>
      </c>
      <c r="D33" s="39">
        <f>238.4+293+43.5+2+39.3+520.9+174.4</f>
        <v>1311.5</v>
      </c>
      <c r="E33" s="3">
        <f>D33/D154*100</f>
        <v>1.1221227156482</v>
      </c>
      <c r="F33" s="3">
        <f>D33/B33*100</f>
        <v>31.64129412048542</v>
      </c>
      <c r="G33" s="3">
        <f t="shared" si="0"/>
        <v>21.094026441921063</v>
      </c>
      <c r="H33" s="37">
        <f t="shared" si="2"/>
        <v>2833.3999999999996</v>
      </c>
      <c r="I33" s="37">
        <f t="shared" si="1"/>
        <v>4905.9</v>
      </c>
      <c r="J33" s="152"/>
      <c r="K33" s="153"/>
    </row>
    <row r="34" spans="1:11" s="151" customFormat="1" ht="18">
      <c r="A34" s="92" t="s">
        <v>3</v>
      </c>
      <c r="B34" s="114">
        <v>2206.9</v>
      </c>
      <c r="C34" s="115">
        <v>3354.7</v>
      </c>
      <c r="D34" s="94">
        <f>95.5+254.3+520.9+145.6</f>
        <v>1016.3000000000001</v>
      </c>
      <c r="E34" s="96">
        <f>D34/D33*100</f>
        <v>77.49142203583683</v>
      </c>
      <c r="F34" s="96">
        <f t="shared" si="3"/>
        <v>46.051021795278444</v>
      </c>
      <c r="G34" s="96">
        <f t="shared" si="0"/>
        <v>30.2948102661937</v>
      </c>
      <c r="H34" s="94">
        <f t="shared" si="2"/>
        <v>1190.6</v>
      </c>
      <c r="I34" s="94">
        <f t="shared" si="1"/>
        <v>2338.3999999999996</v>
      </c>
      <c r="J34" s="152"/>
      <c r="K34" s="153"/>
    </row>
    <row r="35" spans="1:11" s="151" customFormat="1" ht="18">
      <c r="A35" s="92" t="s">
        <v>1</v>
      </c>
      <c r="B35" s="114">
        <v>20</v>
      </c>
      <c r="C35" s="115">
        <v>30</v>
      </c>
      <c r="D35" s="94">
        <f>10+2</f>
        <v>12</v>
      </c>
      <c r="E35" s="96">
        <f>D35/D33*100</f>
        <v>0.9149828440716736</v>
      </c>
      <c r="F35" s="96">
        <f t="shared" si="3"/>
        <v>60</v>
      </c>
      <c r="G35" s="96">
        <f t="shared" si="0"/>
        <v>40</v>
      </c>
      <c r="H35" s="94">
        <f t="shared" si="2"/>
        <v>8</v>
      </c>
      <c r="I35" s="94">
        <f t="shared" si="1"/>
        <v>18</v>
      </c>
      <c r="J35" s="152"/>
      <c r="K35" s="153"/>
    </row>
    <row r="36" spans="1:11" s="151" customFormat="1" ht="18">
      <c r="A36" s="92" t="s">
        <v>0</v>
      </c>
      <c r="B36" s="114">
        <v>333.5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333.5</v>
      </c>
      <c r="I36" s="94">
        <f t="shared" si="1"/>
        <v>484.4</v>
      </c>
      <c r="J36" s="152"/>
      <c r="K36" s="153"/>
    </row>
    <row r="37" spans="1:12" s="85" customFormat="1" ht="18.75">
      <c r="A37" s="105" t="s">
        <v>7</v>
      </c>
      <c r="B37" s="125">
        <v>168</v>
      </c>
      <c r="C37" s="126">
        <v>252</v>
      </c>
      <c r="D37" s="98">
        <f>38.7+2+2.3</f>
        <v>43</v>
      </c>
      <c r="E37" s="101">
        <f>D37/D33*100</f>
        <v>3.278688524590164</v>
      </c>
      <c r="F37" s="101">
        <f t="shared" si="3"/>
        <v>25.595238095238095</v>
      </c>
      <c r="G37" s="101">
        <f t="shared" si="0"/>
        <v>17.063492063492063</v>
      </c>
      <c r="H37" s="98">
        <f t="shared" si="2"/>
        <v>125</v>
      </c>
      <c r="I37" s="98">
        <f t="shared" si="1"/>
        <v>209</v>
      </c>
      <c r="J37" s="147"/>
      <c r="K37" s="153"/>
      <c r="L37" s="127"/>
    </row>
    <row r="38" spans="1:11" s="151" customFormat="1" ht="18">
      <c r="A38" s="92" t="s">
        <v>14</v>
      </c>
      <c r="B38" s="114">
        <v>34</v>
      </c>
      <c r="C38" s="115">
        <v>51</v>
      </c>
      <c r="D38" s="115">
        <v>5.1</v>
      </c>
      <c r="E38" s="96">
        <f>D38/D33*100</f>
        <v>0.3888677087304613</v>
      </c>
      <c r="F38" s="96">
        <f t="shared" si="3"/>
        <v>15</v>
      </c>
      <c r="G38" s="96">
        <f t="shared" si="0"/>
        <v>10</v>
      </c>
      <c r="H38" s="94">
        <f t="shared" si="2"/>
        <v>28.9</v>
      </c>
      <c r="I38" s="94">
        <f t="shared" si="1"/>
        <v>45.9</v>
      </c>
      <c r="J38" s="152"/>
      <c r="K38" s="153"/>
    </row>
    <row r="39" spans="1:11" s="151" customFormat="1" ht="18.75" thickBot="1">
      <c r="A39" s="92" t="s">
        <v>27</v>
      </c>
      <c r="B39" s="114">
        <f>B33-B34-B36-B37-B35-B38</f>
        <v>1382.4999999999995</v>
      </c>
      <c r="C39" s="114">
        <f>C33-C34-C36-C37-C35-C38</f>
        <v>2045.2999999999997</v>
      </c>
      <c r="D39" s="114">
        <f>D33-D34-D36-D37-D35-D38</f>
        <v>235.09999999999994</v>
      </c>
      <c r="E39" s="96">
        <f>D39/D33*100</f>
        <v>17.92603888677087</v>
      </c>
      <c r="F39" s="96">
        <f t="shared" si="3"/>
        <v>17.005424954792044</v>
      </c>
      <c r="G39" s="96">
        <f t="shared" si="0"/>
        <v>11.494646262162028</v>
      </c>
      <c r="H39" s="94">
        <f>B39-D39</f>
        <v>1147.3999999999996</v>
      </c>
      <c r="I39" s="94">
        <f t="shared" si="1"/>
        <v>1810.1999999999998</v>
      </c>
      <c r="J39" s="152"/>
      <c r="K39" s="153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2"/>
      <c r="K40" s="153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2"/>
      <c r="K41" s="153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2"/>
      <c r="K42" s="153">
        <f>C42-B42</f>
        <v>0</v>
      </c>
    </row>
    <row r="43" spans="1:11" ht="19.5" thickBot="1">
      <c r="A43" s="11" t="s">
        <v>16</v>
      </c>
      <c r="B43" s="72">
        <v>103</v>
      </c>
      <c r="C43" s="36">
        <v>154.6</v>
      </c>
      <c r="D43" s="37">
        <v>18</v>
      </c>
      <c r="E43" s="3">
        <f>D43/D154*100</f>
        <v>0.0154008455064183</v>
      </c>
      <c r="F43" s="3">
        <f>D43/B43*100</f>
        <v>17.475728155339805</v>
      </c>
      <c r="G43" s="3">
        <f t="shared" si="0"/>
        <v>11.64294954721863</v>
      </c>
      <c r="H43" s="37">
        <f t="shared" si="2"/>
        <v>85</v>
      </c>
      <c r="I43" s="37">
        <f t="shared" si="1"/>
        <v>136.6</v>
      </c>
      <c r="J43" s="152"/>
      <c r="K43" s="153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2"/>
      <c r="K44" s="153"/>
    </row>
    <row r="45" spans="1:11" ht="18.75" thickBot="1">
      <c r="A45" s="18" t="s">
        <v>44</v>
      </c>
      <c r="B45" s="35">
        <v>2262.7</v>
      </c>
      <c r="C45" s="36">
        <v>3394.1</v>
      </c>
      <c r="D45" s="37">
        <f>346.4+682.6-0.1+14.1</f>
        <v>1043</v>
      </c>
      <c r="E45" s="3">
        <f>D45/D154*100</f>
        <v>0.892393436844127</v>
      </c>
      <c r="F45" s="3">
        <f>D45/B45*100</f>
        <v>46.095372784726216</v>
      </c>
      <c r="G45" s="3">
        <f aca="true" t="shared" si="5" ref="G45:G76">D45/C45*100</f>
        <v>30.729795822161986</v>
      </c>
      <c r="H45" s="37">
        <f>B45-D45</f>
        <v>1219.6999999999998</v>
      </c>
      <c r="I45" s="37">
        <f aca="true" t="shared" si="6" ref="I45:I77">C45-D45</f>
        <v>2351.1</v>
      </c>
      <c r="J45" s="152"/>
      <c r="K45" s="153"/>
    </row>
    <row r="46" spans="1:11" s="151" customFormat="1" ht="18">
      <c r="A46" s="92" t="s">
        <v>3</v>
      </c>
      <c r="B46" s="114">
        <v>1970.7</v>
      </c>
      <c r="C46" s="115">
        <v>2956</v>
      </c>
      <c r="D46" s="94">
        <f>332.5+633.1+14.1</f>
        <v>979.7</v>
      </c>
      <c r="E46" s="96">
        <f>D46/D45*100</f>
        <v>93.93096836049857</v>
      </c>
      <c r="F46" s="96">
        <f aca="true" t="shared" si="7" ref="F46:F74">D46/B46*100</f>
        <v>49.71329984269549</v>
      </c>
      <c r="G46" s="96">
        <f t="shared" si="5"/>
        <v>33.14276048714479</v>
      </c>
      <c r="H46" s="94">
        <f aca="true" t="shared" si="8" ref="H46:H74">B46-D46</f>
        <v>991</v>
      </c>
      <c r="I46" s="94">
        <f t="shared" si="6"/>
        <v>1976.3</v>
      </c>
      <c r="J46" s="152"/>
      <c r="K46" s="153"/>
    </row>
    <row r="47" spans="1:11" s="151" customFormat="1" ht="18" hidden="1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2"/>
      <c r="K47" s="153"/>
    </row>
    <row r="48" spans="1:11" s="151" customFormat="1" ht="18">
      <c r="A48" s="92" t="s">
        <v>1</v>
      </c>
      <c r="B48" s="114">
        <v>10.8</v>
      </c>
      <c r="C48" s="115">
        <v>21.2</v>
      </c>
      <c r="D48" s="94"/>
      <c r="E48" s="96">
        <f>D48/D45*100</f>
        <v>0</v>
      </c>
      <c r="F48" s="96">
        <f t="shared" si="7"/>
        <v>0</v>
      </c>
      <c r="G48" s="96">
        <f t="shared" si="5"/>
        <v>0</v>
      </c>
      <c r="H48" s="94">
        <f t="shared" si="8"/>
        <v>10.8</v>
      </c>
      <c r="I48" s="94">
        <f t="shared" si="6"/>
        <v>21.2</v>
      </c>
      <c r="J48" s="152"/>
      <c r="K48" s="153"/>
    </row>
    <row r="49" spans="1:11" s="151" customFormat="1" ht="18">
      <c r="A49" s="92" t="s">
        <v>0</v>
      </c>
      <c r="B49" s="114">
        <v>253.4</v>
      </c>
      <c r="C49" s="115">
        <v>372.5</v>
      </c>
      <c r="D49" s="94">
        <f>13.9+43.7</f>
        <v>57.6</v>
      </c>
      <c r="E49" s="96">
        <f>D49/D45*100</f>
        <v>5.5225311601150535</v>
      </c>
      <c r="F49" s="96">
        <f t="shared" si="7"/>
        <v>22.730860299921073</v>
      </c>
      <c r="G49" s="96">
        <f t="shared" si="5"/>
        <v>15.46308724832215</v>
      </c>
      <c r="H49" s="94">
        <f t="shared" si="8"/>
        <v>195.8</v>
      </c>
      <c r="I49" s="94">
        <f t="shared" si="6"/>
        <v>314.9</v>
      </c>
      <c r="J49" s="152"/>
      <c r="K49" s="153"/>
    </row>
    <row r="50" spans="1:11" s="151" customFormat="1" ht="18.75" thickBot="1">
      <c r="A50" s="92" t="s">
        <v>27</v>
      </c>
      <c r="B50" s="115">
        <f>B45-B46-B49-B48-B47</f>
        <v>27.799999999999766</v>
      </c>
      <c r="C50" s="115">
        <f>C45-C46-C49-C48-C47</f>
        <v>44.399999999999906</v>
      </c>
      <c r="D50" s="115">
        <f>D45-D46-D49-D48-D47</f>
        <v>5.699999999999953</v>
      </c>
      <c r="E50" s="96">
        <f>D50/D45*100</f>
        <v>0.5465004793863809</v>
      </c>
      <c r="F50" s="96">
        <f t="shared" si="7"/>
        <v>20.50359712230216</v>
      </c>
      <c r="G50" s="96">
        <f t="shared" si="5"/>
        <v>12.837837837837759</v>
      </c>
      <c r="H50" s="94">
        <f t="shared" si="8"/>
        <v>22.099999999999813</v>
      </c>
      <c r="I50" s="94">
        <f t="shared" si="6"/>
        <v>38.69999999999995</v>
      </c>
      <c r="J50" s="152"/>
      <c r="K50" s="153"/>
    </row>
    <row r="51" spans="1:11" ht="18.75" thickBot="1">
      <c r="A51" s="18" t="s">
        <v>4</v>
      </c>
      <c r="B51" s="35">
        <v>6332.4</v>
      </c>
      <c r="C51" s="36">
        <v>9498.7</v>
      </c>
      <c r="D51" s="37">
        <f>721.7+145.3+5+112.8+1132.7+7.6</f>
        <v>2125.1</v>
      </c>
      <c r="E51" s="3">
        <f>D51/D154*100</f>
        <v>1.818240932538307</v>
      </c>
      <c r="F51" s="3">
        <f>D51/B51*100</f>
        <v>33.559156086160066</v>
      </c>
      <c r="G51" s="3">
        <f t="shared" si="5"/>
        <v>22.372535189025864</v>
      </c>
      <c r="H51" s="37">
        <f>B51-D51</f>
        <v>4207.299999999999</v>
      </c>
      <c r="I51" s="37">
        <f t="shared" si="6"/>
        <v>7373.6</v>
      </c>
      <c r="J51" s="152"/>
      <c r="K51" s="153"/>
    </row>
    <row r="52" spans="1:11" s="151" customFormat="1" ht="18">
      <c r="A52" s="92" t="s">
        <v>3</v>
      </c>
      <c r="B52" s="114">
        <v>3592.6</v>
      </c>
      <c r="C52" s="115">
        <v>5388.9</v>
      </c>
      <c r="D52" s="94">
        <f>721.7+980.4</f>
        <v>1702.1</v>
      </c>
      <c r="E52" s="96">
        <f>D52/D51*100</f>
        <v>80.0950543503835</v>
      </c>
      <c r="F52" s="96">
        <f t="shared" si="7"/>
        <v>47.377943550631855</v>
      </c>
      <c r="G52" s="96">
        <f t="shared" si="5"/>
        <v>31.585295700421234</v>
      </c>
      <c r="H52" s="94">
        <f t="shared" si="8"/>
        <v>1890.5</v>
      </c>
      <c r="I52" s="94">
        <f t="shared" si="6"/>
        <v>3686.7999999999997</v>
      </c>
      <c r="J52" s="152"/>
      <c r="K52" s="153"/>
    </row>
    <row r="53" spans="1:11" s="151" customFormat="1" ht="18" hidden="1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2"/>
      <c r="K53" s="153"/>
    </row>
    <row r="54" spans="1:11" s="151" customFormat="1" ht="18">
      <c r="A54" s="92" t="s">
        <v>1</v>
      </c>
      <c r="B54" s="114">
        <v>179.1</v>
      </c>
      <c r="C54" s="115">
        <v>274.8</v>
      </c>
      <c r="D54" s="94">
        <f>3.2+7.6</f>
        <v>10.8</v>
      </c>
      <c r="E54" s="96">
        <f>D54/D51*100</f>
        <v>0.5082113782880806</v>
      </c>
      <c r="F54" s="96">
        <f t="shared" si="7"/>
        <v>6.030150753768845</v>
      </c>
      <c r="G54" s="96">
        <f t="shared" si="5"/>
        <v>3.9301310043668125</v>
      </c>
      <c r="H54" s="94">
        <f t="shared" si="8"/>
        <v>168.29999999999998</v>
      </c>
      <c r="I54" s="94">
        <f t="shared" si="6"/>
        <v>264</v>
      </c>
      <c r="J54" s="152"/>
      <c r="K54" s="153"/>
    </row>
    <row r="55" spans="1:11" s="151" customFormat="1" ht="18">
      <c r="A55" s="92" t="s">
        <v>0</v>
      </c>
      <c r="B55" s="114">
        <v>338.7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338.7</v>
      </c>
      <c r="I55" s="94">
        <f t="shared" si="6"/>
        <v>507.8</v>
      </c>
      <c r="J55" s="152"/>
      <c r="K55" s="153"/>
    </row>
    <row r="56" spans="1:11" s="151" customFormat="1" ht="18">
      <c r="A56" s="92" t="s">
        <v>14</v>
      </c>
      <c r="B56" s="114">
        <v>580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580</v>
      </c>
      <c r="I56" s="94">
        <f t="shared" si="6"/>
        <v>870</v>
      </c>
      <c r="J56" s="152"/>
      <c r="K56" s="153"/>
    </row>
    <row r="57" spans="1:11" s="151" customFormat="1" ht="18.75" thickBot="1">
      <c r="A57" s="92" t="s">
        <v>27</v>
      </c>
      <c r="B57" s="115">
        <f>B51-B52-B55-B54-B53-B56</f>
        <v>1642</v>
      </c>
      <c r="C57" s="115">
        <f>C51-C52-C55-C54-C53-C56</f>
        <v>2457.2000000000007</v>
      </c>
      <c r="D57" s="115">
        <f>D51-D52-D55-D54-D53-D56</f>
        <v>412.2</v>
      </c>
      <c r="E57" s="96">
        <f>D57/D51*100</f>
        <v>19.39673427132841</v>
      </c>
      <c r="F57" s="96">
        <f t="shared" si="7"/>
        <v>25.103532277710112</v>
      </c>
      <c r="G57" s="96">
        <f t="shared" si="5"/>
        <v>16.775191274621516</v>
      </c>
      <c r="H57" s="94">
        <f>B57-D57</f>
        <v>1229.8</v>
      </c>
      <c r="I57" s="94">
        <f>C57-D57</f>
        <v>2045.0000000000007</v>
      </c>
      <c r="J57" s="152"/>
      <c r="K57" s="153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7"/>
      <c r="K58" s="153">
        <f>C58-B58</f>
        <v>0</v>
      </c>
    </row>
    <row r="59" spans="1:11" ht="18.75" thickBot="1">
      <c r="A59" s="18" t="s">
        <v>6</v>
      </c>
      <c r="B59" s="35">
        <v>1506.1</v>
      </c>
      <c r="C59" s="36">
        <v>2261.1</v>
      </c>
      <c r="D59" s="37">
        <f>80.6+106+88.7</f>
        <v>275.3</v>
      </c>
      <c r="E59" s="3">
        <f>D59/D154*100</f>
        <v>0.23554737599538658</v>
      </c>
      <c r="F59" s="3">
        <f>D59/B59*100</f>
        <v>18.278998738463585</v>
      </c>
      <c r="G59" s="3">
        <f t="shared" si="5"/>
        <v>12.175489805846713</v>
      </c>
      <c r="H59" s="37">
        <f>B59-D59</f>
        <v>1230.8</v>
      </c>
      <c r="I59" s="37">
        <f t="shared" si="6"/>
        <v>1985.8</v>
      </c>
      <c r="J59" s="152"/>
      <c r="K59" s="153"/>
    </row>
    <row r="60" spans="1:11" s="151" customFormat="1" ht="18">
      <c r="A60" s="92" t="s">
        <v>3</v>
      </c>
      <c r="B60" s="114">
        <v>625.3</v>
      </c>
      <c r="C60" s="115">
        <v>936.2</v>
      </c>
      <c r="D60" s="94">
        <f>80.6+106+88.7</f>
        <v>275.3</v>
      </c>
      <c r="E60" s="96">
        <f>D60/D59*100</f>
        <v>100</v>
      </c>
      <c r="F60" s="96">
        <f t="shared" si="7"/>
        <v>44.02686710379019</v>
      </c>
      <c r="G60" s="96">
        <f t="shared" si="5"/>
        <v>29.406109805597097</v>
      </c>
      <c r="H60" s="94">
        <f t="shared" si="8"/>
        <v>349.99999999999994</v>
      </c>
      <c r="I60" s="94">
        <f t="shared" si="6"/>
        <v>660.9000000000001</v>
      </c>
      <c r="J60" s="152"/>
      <c r="K60" s="153"/>
    </row>
    <row r="61" spans="1:11" s="151" customFormat="1" ht="18" hidden="1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2"/>
      <c r="K61" s="153"/>
    </row>
    <row r="62" spans="1:11" s="151" customFormat="1" ht="18">
      <c r="A62" s="92" t="s">
        <v>0</v>
      </c>
      <c r="B62" s="114">
        <v>232.9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232.9</v>
      </c>
      <c r="I62" s="94">
        <f t="shared" si="6"/>
        <v>351.7</v>
      </c>
      <c r="J62" s="152"/>
      <c r="K62" s="153"/>
    </row>
    <row r="63" spans="1:11" s="151" customFormat="1" ht="18" hidden="1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2"/>
      <c r="K63" s="153"/>
    </row>
    <row r="64" spans="1:11" s="151" customFormat="1" ht="18.75" thickBot="1">
      <c r="A64" s="92" t="s">
        <v>27</v>
      </c>
      <c r="B64" s="115">
        <f>B59-B60-B62-B63-B61</f>
        <v>647.9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647.9</v>
      </c>
      <c r="I64" s="94">
        <f t="shared" si="6"/>
        <v>973.1999999999998</v>
      </c>
      <c r="J64" s="152"/>
      <c r="K64" s="153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7"/>
      <c r="K65" s="153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7"/>
      <c r="K66" s="153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7"/>
      <c r="K67" s="153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7"/>
      <c r="K68" s="153">
        <f>C68-B68</f>
        <v>0</v>
      </c>
    </row>
    <row r="69" spans="1:11" ht="18.75" thickBot="1">
      <c r="A69" s="18" t="s">
        <v>20</v>
      </c>
      <c r="B69" s="36">
        <f>B70+B71</f>
        <v>61.5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61.5</v>
      </c>
      <c r="I69" s="37">
        <f t="shared" si="6"/>
        <v>92.1</v>
      </c>
      <c r="J69" s="152"/>
      <c r="K69" s="153"/>
    </row>
    <row r="70" spans="1:11" s="151" customFormat="1" ht="18">
      <c r="A70" s="92" t="s">
        <v>8</v>
      </c>
      <c r="B70" s="114">
        <v>36.6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36.6</v>
      </c>
      <c r="I70" s="94">
        <f t="shared" si="6"/>
        <v>54.8</v>
      </c>
      <c r="J70" s="152"/>
      <c r="K70" s="153"/>
    </row>
    <row r="71" spans="1:11" s="151" customFormat="1" ht="18.75" thickBot="1">
      <c r="A71" s="92" t="s">
        <v>9</v>
      </c>
      <c r="B71" s="114">
        <v>24.9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24.9</v>
      </c>
      <c r="I71" s="94">
        <f t="shared" si="6"/>
        <v>37.3</v>
      </c>
      <c r="J71" s="152"/>
      <c r="K71" s="153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2"/>
      <c r="K72" s="153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2"/>
      <c r="K73" s="153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2"/>
      <c r="K74" s="153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2"/>
      <c r="K75" s="153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2"/>
      <c r="K76" s="153"/>
    </row>
    <row r="77" spans="1:11" s="29" customFormat="1" ht="19.5" thickBot="1">
      <c r="A77" s="21" t="s">
        <v>13</v>
      </c>
      <c r="B77" s="43">
        <v>416.3</v>
      </c>
      <c r="C77" s="50">
        <v>625</v>
      </c>
      <c r="D77" s="51"/>
      <c r="E77" s="31"/>
      <c r="F77" s="31"/>
      <c r="G77" s="31"/>
      <c r="H77" s="51">
        <f>B77-D77</f>
        <v>416.3</v>
      </c>
      <c r="I77" s="51">
        <f t="shared" si="6"/>
        <v>625</v>
      </c>
      <c r="J77" s="147"/>
      <c r="K77" s="153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4"/>
      <c r="J78" s="152"/>
      <c r="K78" s="153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2"/>
      <c r="K79" s="153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8"/>
      <c r="K80" s="153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8"/>
      <c r="K81" s="153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8"/>
      <c r="K82" s="153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8"/>
      <c r="K83" s="153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2"/>
      <c r="K84" s="153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2"/>
      <c r="K85" s="153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2"/>
      <c r="K86" s="153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2"/>
      <c r="K87" s="153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2"/>
      <c r="K88" s="153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2"/>
      <c r="K89" s="153"/>
    </row>
    <row r="90" spans="1:11" ht="19.5" thickBot="1">
      <c r="A90" s="11" t="s">
        <v>10</v>
      </c>
      <c r="B90" s="42">
        <v>34495</v>
      </c>
      <c r="C90" s="36">
        <v>51742.5</v>
      </c>
      <c r="D90" s="37">
        <f>244+43.9+2457.4+2707.4+10.4+33.4+0.3+26.7+297+18.1+13+3+6.2+490.1+6379.1-0.1+2560.6</f>
        <v>15290.5</v>
      </c>
      <c r="E90" s="3">
        <f>D90/D154*100</f>
        <v>13.082590456438279</v>
      </c>
      <c r="F90" s="3">
        <f aca="true" t="shared" si="11" ref="F90:F96">D90/B90*100</f>
        <v>44.326714016524136</v>
      </c>
      <c r="G90" s="3">
        <f t="shared" si="9"/>
        <v>29.55114267768276</v>
      </c>
      <c r="H90" s="37">
        <f aca="true" t="shared" si="12" ref="H90:H96">B90-D90</f>
        <v>19204.5</v>
      </c>
      <c r="I90" s="37">
        <f t="shared" si="10"/>
        <v>36452</v>
      </c>
      <c r="J90" s="152"/>
      <c r="K90" s="153"/>
    </row>
    <row r="91" spans="1:11" s="151" customFormat="1" ht="21.75" customHeight="1">
      <c r="A91" s="92" t="s">
        <v>3</v>
      </c>
      <c r="B91" s="114">
        <v>32409</v>
      </c>
      <c r="C91" s="115">
        <v>48629.1</v>
      </c>
      <c r="D91" s="150">
        <f>244+2447.7+2707.4+7.9+32.8+292+16+4.4+487.2+6367.9-0.1+2554.5</f>
        <v>15161.699999999999</v>
      </c>
      <c r="E91" s="96">
        <f>D91/D90*100</f>
        <v>99.15764690494096</v>
      </c>
      <c r="F91" s="96">
        <f t="shared" si="11"/>
        <v>46.782375266129776</v>
      </c>
      <c r="G91" s="96">
        <f t="shared" si="9"/>
        <v>31.17824512483266</v>
      </c>
      <c r="H91" s="94">
        <f t="shared" si="12"/>
        <v>17247.300000000003</v>
      </c>
      <c r="I91" s="94">
        <f t="shared" si="10"/>
        <v>33467.4</v>
      </c>
      <c r="K91" s="153"/>
    </row>
    <row r="92" spans="1:11" s="151" customFormat="1" ht="18">
      <c r="A92" s="92" t="s">
        <v>25</v>
      </c>
      <c r="B92" s="114">
        <f>805.3+10.6</f>
        <v>815.9</v>
      </c>
      <c r="C92" s="115">
        <f>1178+10.6</f>
        <v>1188.6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815.9</v>
      </c>
      <c r="I92" s="94">
        <f t="shared" si="10"/>
        <v>1188.6</v>
      </c>
      <c r="K92" s="153"/>
    </row>
    <row r="93" spans="1:11" s="151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3">
        <f aca="true" t="shared" si="13" ref="K93:K101">C93-B93</f>
        <v>0</v>
      </c>
    </row>
    <row r="94" spans="1:11" s="151" customFormat="1" ht="18.75" thickBot="1">
      <c r="A94" s="92" t="s">
        <v>27</v>
      </c>
      <c r="B94" s="115">
        <f>B90-B91-B92-B93</f>
        <v>1270.1</v>
      </c>
      <c r="C94" s="115">
        <f>C90-C91-C92-C93</f>
        <v>1924.8000000000015</v>
      </c>
      <c r="D94" s="115">
        <f>D90-D91-D92-D93</f>
        <v>128.8000000000011</v>
      </c>
      <c r="E94" s="96">
        <f>D94/D90*100</f>
        <v>0.8423530950590307</v>
      </c>
      <c r="F94" s="96">
        <f t="shared" si="11"/>
        <v>10.140933784741446</v>
      </c>
      <c r="G94" s="96">
        <f>D94/C94*100</f>
        <v>6.691604322527067</v>
      </c>
      <c r="H94" s="94">
        <f t="shared" si="12"/>
        <v>1141.2999999999988</v>
      </c>
      <c r="I94" s="94">
        <f>C94-D94</f>
        <v>1796.0000000000005</v>
      </c>
      <c r="K94" s="153"/>
    </row>
    <row r="95" spans="1:11" ht="18.75">
      <c r="A95" s="76" t="s">
        <v>12</v>
      </c>
      <c r="B95" s="84">
        <f>11002.5-173.7</f>
        <v>10828.8</v>
      </c>
      <c r="C95" s="79">
        <v>16795.4</v>
      </c>
      <c r="D95" s="78">
        <f>550.6+16+384.3+525.5+369.8</f>
        <v>1846.2</v>
      </c>
      <c r="E95" s="75">
        <f>D95/D154*100</f>
        <v>1.579613387441637</v>
      </c>
      <c r="F95" s="77">
        <f t="shared" si="11"/>
        <v>17.048980496453904</v>
      </c>
      <c r="G95" s="74">
        <f>D95/C95*100</f>
        <v>10.99229550948474</v>
      </c>
      <c r="H95" s="78">
        <f t="shared" si="12"/>
        <v>8982.599999999999</v>
      </c>
      <c r="I95" s="80">
        <f>C95-D95</f>
        <v>14949.2</v>
      </c>
      <c r="J95" s="152"/>
      <c r="K95" s="153"/>
    </row>
    <row r="96" spans="1:11" s="151" customFormat="1" ht="18.75" thickBot="1">
      <c r="A96" s="117" t="s">
        <v>83</v>
      </c>
      <c r="B96" s="118">
        <f>2580-18</f>
        <v>2562</v>
      </c>
      <c r="C96" s="119">
        <f>3870-18</f>
        <v>3852</v>
      </c>
      <c r="D96" s="120">
        <v>101</v>
      </c>
      <c r="E96" s="121">
        <f>D96/D95*100</f>
        <v>5.470696565919185</v>
      </c>
      <c r="F96" s="122">
        <f t="shared" si="11"/>
        <v>3.9422326307572213</v>
      </c>
      <c r="G96" s="123">
        <f>D96/C96*100</f>
        <v>2.622014537902388</v>
      </c>
      <c r="H96" s="124">
        <f t="shared" si="12"/>
        <v>2461</v>
      </c>
      <c r="I96" s="113">
        <f>C96-D96</f>
        <v>3751</v>
      </c>
      <c r="J96" s="152"/>
      <c r="K96" s="153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2"/>
      <c r="K97" s="153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2"/>
      <c r="K98" s="153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4"/>
      <c r="J99" s="152"/>
      <c r="K99" s="153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6"/>
      <c r="K100" s="153">
        <f t="shared" si="13"/>
        <v>0</v>
      </c>
    </row>
    <row r="101" spans="1:11" ht="6.75" customHeight="1" hidden="1" thickBot="1">
      <c r="A101" s="155"/>
      <c r="B101" s="156"/>
      <c r="C101" s="54"/>
      <c r="D101" s="55"/>
      <c r="E101" s="12"/>
      <c r="F101" s="6"/>
      <c r="G101" s="6"/>
      <c r="H101" s="49"/>
      <c r="I101" s="154"/>
      <c r="J101" s="152"/>
      <c r="K101" s="153">
        <f t="shared" si="13"/>
        <v>0</v>
      </c>
    </row>
    <row r="102" spans="1:11" s="29" customFormat="1" ht="19.5" thickBot="1">
      <c r="A102" s="11" t="s">
        <v>11</v>
      </c>
      <c r="B102" s="83">
        <v>9534.1</v>
      </c>
      <c r="C102" s="66">
        <v>14299.2</v>
      </c>
      <c r="D102" s="62">
        <f>152.2+12.4+164.7+14+1585.4+13.1</f>
        <v>1941.8</v>
      </c>
      <c r="E102" s="16">
        <f>D102/D154*100</f>
        <v>1.661408989131281</v>
      </c>
      <c r="F102" s="16">
        <f>D102/B102*100</f>
        <v>20.366893571495996</v>
      </c>
      <c r="G102" s="16">
        <f aca="true" t="shared" si="14" ref="G102:G152">D102/C102*100</f>
        <v>13.579780687031443</v>
      </c>
      <c r="H102" s="62">
        <f aca="true" t="shared" si="15" ref="H102:H108">B102-D102</f>
        <v>7592.3</v>
      </c>
      <c r="I102" s="62">
        <f aca="true" t="shared" si="16" ref="I102:I152">C102-D102</f>
        <v>12357.400000000001</v>
      </c>
      <c r="J102" s="147"/>
      <c r="K102" s="153"/>
    </row>
    <row r="103" spans="1:11" s="151" customFormat="1" ht="18.75" customHeight="1" hidden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2"/>
      <c r="K103" s="153"/>
    </row>
    <row r="104" spans="1:11" s="151" customFormat="1" ht="18">
      <c r="A104" s="109" t="s">
        <v>48</v>
      </c>
      <c r="B104" s="93">
        <v>9323.9</v>
      </c>
      <c r="C104" s="94">
        <v>13985.3</v>
      </c>
      <c r="D104" s="94">
        <f>152.1+12.4+164.7+14+1585.4+8</f>
        <v>1936.6000000000001</v>
      </c>
      <c r="E104" s="96">
        <f>D104/D102*100</f>
        <v>99.7322072304048</v>
      </c>
      <c r="F104" s="96">
        <f aca="true" t="shared" si="17" ref="F104:F152">D104/B104*100</f>
        <v>20.770278531515785</v>
      </c>
      <c r="G104" s="96">
        <f t="shared" si="14"/>
        <v>13.847396909612236</v>
      </c>
      <c r="H104" s="94">
        <f t="shared" si="15"/>
        <v>7387.299999999999</v>
      </c>
      <c r="I104" s="94">
        <f t="shared" si="16"/>
        <v>12048.699999999999</v>
      </c>
      <c r="J104" s="152"/>
      <c r="K104" s="153"/>
    </row>
    <row r="105" spans="1:11" s="151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2"/>
      <c r="K105" s="153"/>
    </row>
    <row r="106" spans="1:11" s="151" customFormat="1" ht="18.75" thickBot="1">
      <c r="A106" s="110" t="s">
        <v>27</v>
      </c>
      <c r="B106" s="111">
        <f>B102-B103-B104</f>
        <v>210.20000000000073</v>
      </c>
      <c r="C106" s="111">
        <f>C102-C103-C104</f>
        <v>313.90000000000146</v>
      </c>
      <c r="D106" s="111">
        <f>D102-D103-D104</f>
        <v>5.199999999999818</v>
      </c>
      <c r="E106" s="112">
        <f>D106/D102*100</f>
        <v>0.26779276959521153</v>
      </c>
      <c r="F106" s="112">
        <f t="shared" si="17"/>
        <v>2.473834443387155</v>
      </c>
      <c r="G106" s="112">
        <f t="shared" si="14"/>
        <v>1.6565785281936265</v>
      </c>
      <c r="H106" s="113">
        <f t="shared" si="15"/>
        <v>205.0000000000009</v>
      </c>
      <c r="I106" s="113">
        <f t="shared" si="16"/>
        <v>308.70000000000164</v>
      </c>
      <c r="J106" s="152"/>
      <c r="K106" s="153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42128.99999999999</v>
      </c>
      <c r="C107" s="64">
        <f>SUM(C108:C151)-C115-C120+C152-C142-C143-C109-C112-C123-C124-C140-C133-C131-C138-C118</f>
        <v>58380.9</v>
      </c>
      <c r="D107" s="64">
        <f>SUM(D108:D151)-D115-D120+D152-D142-D143-D109-D112-D123-D124-D140-D133-D131-D138-D118</f>
        <v>10248.399999999998</v>
      </c>
      <c r="E107" s="65">
        <f>D107/D154*100</f>
        <v>8.768556949332071</v>
      </c>
      <c r="F107" s="65">
        <f>D107/B107*100</f>
        <v>24.326236084407416</v>
      </c>
      <c r="G107" s="65">
        <f t="shared" si="14"/>
        <v>17.554371378310368</v>
      </c>
      <c r="H107" s="64">
        <f t="shared" si="15"/>
        <v>31880.599999999995</v>
      </c>
      <c r="I107" s="64">
        <f t="shared" si="16"/>
        <v>48132.5</v>
      </c>
      <c r="J107" s="144"/>
      <c r="K107" s="153"/>
      <c r="L107" s="86"/>
    </row>
    <row r="108" spans="1:12" s="151" customFormat="1" ht="37.5">
      <c r="A108" s="87" t="s">
        <v>52</v>
      </c>
      <c r="B108" s="165">
        <v>743.2</v>
      </c>
      <c r="C108" s="139">
        <v>1114.7</v>
      </c>
      <c r="D108" s="88">
        <v>1.8</v>
      </c>
      <c r="E108" s="89">
        <f>D108/D107*100</f>
        <v>0.01756371726318255</v>
      </c>
      <c r="F108" s="89">
        <f t="shared" si="17"/>
        <v>0.24219590958019377</v>
      </c>
      <c r="G108" s="89">
        <f t="shared" si="14"/>
        <v>0.16147842468825693</v>
      </c>
      <c r="H108" s="90">
        <f t="shared" si="15"/>
        <v>741.4000000000001</v>
      </c>
      <c r="I108" s="90">
        <f t="shared" si="16"/>
        <v>1112.9</v>
      </c>
      <c r="K108" s="153"/>
      <c r="L108" s="91"/>
    </row>
    <row r="109" spans="1:12" s="151" customFormat="1" ht="18.75">
      <c r="A109" s="92" t="s">
        <v>25</v>
      </c>
      <c r="B109" s="93">
        <v>467</v>
      </c>
      <c r="C109" s="94">
        <v>700.5</v>
      </c>
      <c r="D109" s="95"/>
      <c r="E109" s="96">
        <f>D109/D108*100</f>
        <v>0</v>
      </c>
      <c r="F109" s="96">
        <f t="shared" si="17"/>
        <v>0</v>
      </c>
      <c r="G109" s="96">
        <f t="shared" si="14"/>
        <v>0</v>
      </c>
      <c r="H109" s="94">
        <f aca="true" t="shared" si="18" ref="H109:H152">B109-D109</f>
        <v>467</v>
      </c>
      <c r="I109" s="94">
        <f t="shared" si="16"/>
        <v>700.5</v>
      </c>
      <c r="K109" s="153"/>
      <c r="L109" s="91"/>
    </row>
    <row r="110" spans="1:12" s="151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3"/>
      <c r="L110" s="91"/>
    </row>
    <row r="111" spans="1:12" s="85" customFormat="1" ht="34.5" customHeight="1" hidden="1">
      <c r="A111" s="97" t="s">
        <v>93</v>
      </c>
      <c r="B111" s="142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3"/>
      <c r="L111" s="91"/>
    </row>
    <row r="112" spans="1:12" s="151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3"/>
      <c r="L112" s="91"/>
    </row>
    <row r="113" spans="1:12" s="151" customFormat="1" ht="18.75" customHeight="1" hidden="1">
      <c r="A113" s="97" t="s">
        <v>89</v>
      </c>
      <c r="B113" s="142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3"/>
      <c r="L113" s="91"/>
    </row>
    <row r="114" spans="1:12" s="151" customFormat="1" ht="37.5">
      <c r="A114" s="97" t="s">
        <v>38</v>
      </c>
      <c r="B114" s="164">
        <v>543.7</v>
      </c>
      <c r="C114" s="90">
        <v>815.5</v>
      </c>
      <c r="D114" s="88">
        <v>187.7</v>
      </c>
      <c r="E114" s="89">
        <f>D114/D107*100</f>
        <v>1.831505405721869</v>
      </c>
      <c r="F114" s="89">
        <f t="shared" si="17"/>
        <v>34.52271473238918</v>
      </c>
      <c r="G114" s="89">
        <f t="shared" si="14"/>
        <v>23.016554261189455</v>
      </c>
      <c r="H114" s="90">
        <f t="shared" si="18"/>
        <v>356.00000000000006</v>
      </c>
      <c r="I114" s="90">
        <f t="shared" si="16"/>
        <v>627.8</v>
      </c>
      <c r="K114" s="153"/>
      <c r="L114" s="91"/>
    </row>
    <row r="115" spans="1:12" s="151" customFormat="1" ht="18.75" hidden="1">
      <c r="A115" s="100" t="s">
        <v>43</v>
      </c>
      <c r="B115" s="149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3"/>
      <c r="L115" s="91"/>
    </row>
    <row r="116" spans="1:12" s="85" customFormat="1" ht="18.75" customHeight="1" hidden="1">
      <c r="A116" s="97" t="s">
        <v>90</v>
      </c>
      <c r="B116" s="164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3"/>
      <c r="L116" s="91"/>
    </row>
    <row r="117" spans="1:12" s="151" customFormat="1" ht="37.5" hidden="1">
      <c r="A117" s="97" t="s">
        <v>47</v>
      </c>
      <c r="B117" s="164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3"/>
      <c r="L117" s="91"/>
    </row>
    <row r="118" spans="1:12" s="151" customFormat="1" ht="18.75" hidden="1">
      <c r="A118" s="100" t="s">
        <v>88</v>
      </c>
      <c r="B118" s="149"/>
      <c r="C118" s="150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3"/>
      <c r="L118" s="91"/>
    </row>
    <row r="119" spans="1:12" s="102" customFormat="1" ht="18.75">
      <c r="A119" s="97" t="s">
        <v>15</v>
      </c>
      <c r="B119" s="164">
        <v>81.9</v>
      </c>
      <c r="C119" s="98">
        <v>122.9</v>
      </c>
      <c r="D119" s="88"/>
      <c r="E119" s="89">
        <f>D119/D107*100</f>
        <v>0</v>
      </c>
      <c r="F119" s="89">
        <f t="shared" si="17"/>
        <v>0</v>
      </c>
      <c r="G119" s="89">
        <f t="shared" si="14"/>
        <v>0</v>
      </c>
      <c r="H119" s="90">
        <f t="shared" si="18"/>
        <v>81.9</v>
      </c>
      <c r="I119" s="90">
        <f t="shared" si="16"/>
        <v>122.9</v>
      </c>
      <c r="K119" s="153"/>
      <c r="L119" s="91"/>
    </row>
    <row r="120" spans="1:12" s="103" customFormat="1" ht="18.75">
      <c r="A120" s="100" t="s">
        <v>43</v>
      </c>
      <c r="B120" s="149">
        <v>81.4</v>
      </c>
      <c r="C120" s="94">
        <v>122.1</v>
      </c>
      <c r="D120" s="95"/>
      <c r="E120" s="96" t="e">
        <f>D120/D119*100</f>
        <v>#DIV/0!</v>
      </c>
      <c r="F120" s="96">
        <f t="shared" si="17"/>
        <v>0</v>
      </c>
      <c r="G120" s="96">
        <f t="shared" si="14"/>
        <v>0</v>
      </c>
      <c r="H120" s="94">
        <f t="shared" si="18"/>
        <v>81.4</v>
      </c>
      <c r="I120" s="94">
        <f t="shared" si="16"/>
        <v>122.1</v>
      </c>
      <c r="K120" s="153"/>
      <c r="L120" s="91"/>
    </row>
    <row r="121" spans="1:12" s="102" customFormat="1" ht="18.75">
      <c r="A121" s="97" t="s">
        <v>105</v>
      </c>
      <c r="B121" s="164">
        <v>34.3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34.3</v>
      </c>
      <c r="I121" s="90">
        <f t="shared" si="16"/>
        <v>51.5</v>
      </c>
      <c r="K121" s="153"/>
      <c r="L121" s="91"/>
    </row>
    <row r="122" spans="1:13" s="102" customFormat="1" ht="21.75" customHeight="1" hidden="1">
      <c r="A122" s="97" t="s">
        <v>94</v>
      </c>
      <c r="B122" s="164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4"/>
      <c r="K122" s="153">
        <f>H108+H111+H113+H114+H117+H119+H121+H126+H127+H128+H130+H132+H136+H137+H139+H69</f>
        <v>2005.5</v>
      </c>
      <c r="L122" s="153">
        <f>I108+I111+I113+I114+I117+I119+I121+I126+I127+I128+I130+I132+I136+I137+I139+I69</f>
        <v>3106.6000000000004</v>
      </c>
      <c r="M122" s="153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9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3"/>
      <c r="L123" s="91"/>
    </row>
    <row r="124" spans="1:12" s="104" customFormat="1" ht="18.75" hidden="1">
      <c r="A124" s="92" t="s">
        <v>49</v>
      </c>
      <c r="B124" s="149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3"/>
      <c r="L124" s="91"/>
    </row>
    <row r="125" spans="1:12" s="102" customFormat="1" ht="37.5">
      <c r="A125" s="97" t="s">
        <v>95</v>
      </c>
      <c r="B125" s="164">
        <f>2369.7+173.7</f>
        <v>2543.3999999999996</v>
      </c>
      <c r="C125" s="98">
        <v>3262.8</v>
      </c>
      <c r="D125" s="99">
        <f>871.9+408.1</f>
        <v>1280</v>
      </c>
      <c r="E125" s="101">
        <f>D125/D107*100</f>
        <v>12.489754498263146</v>
      </c>
      <c r="F125" s="89">
        <f t="shared" si="17"/>
        <v>50.3263348273964</v>
      </c>
      <c r="G125" s="89">
        <f t="shared" si="14"/>
        <v>39.230109108740955</v>
      </c>
      <c r="H125" s="90">
        <f t="shared" si="18"/>
        <v>1263.3999999999996</v>
      </c>
      <c r="I125" s="90">
        <f t="shared" si="16"/>
        <v>1982.8000000000002</v>
      </c>
      <c r="K125" s="153"/>
      <c r="L125" s="91"/>
    </row>
    <row r="126" spans="1:12" s="102" customFormat="1" ht="18.75" hidden="1">
      <c r="A126" s="97" t="s">
        <v>91</v>
      </c>
      <c r="B126" s="164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3"/>
      <c r="L126" s="91"/>
    </row>
    <row r="127" spans="1:17" s="102" customFormat="1" ht="37.5">
      <c r="A127" s="97" t="s">
        <v>100</v>
      </c>
      <c r="B127" s="164">
        <v>75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75</v>
      </c>
      <c r="I127" s="90">
        <f t="shared" si="16"/>
        <v>112.5</v>
      </c>
      <c r="K127" s="153"/>
      <c r="L127" s="91"/>
      <c r="Q127" s="91"/>
    </row>
    <row r="128" spans="1:17" s="102" customFormat="1" ht="37.5">
      <c r="A128" s="97" t="s">
        <v>85</v>
      </c>
      <c r="B128" s="164">
        <v>18.5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18.5</v>
      </c>
      <c r="I128" s="90">
        <f t="shared" si="16"/>
        <v>27.7</v>
      </c>
      <c r="K128" s="153"/>
      <c r="L128" s="91"/>
      <c r="Q128" s="91"/>
    </row>
    <row r="129" spans="1:12" s="102" customFormat="1" ht="18.75" hidden="1">
      <c r="A129" s="100" t="s">
        <v>83</v>
      </c>
      <c r="B129" s="164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3"/>
      <c r="L129" s="91"/>
    </row>
    <row r="130" spans="1:17" s="102" customFormat="1" ht="37.5">
      <c r="A130" s="97" t="s">
        <v>57</v>
      </c>
      <c r="B130" s="164">
        <v>157</v>
      </c>
      <c r="C130" s="98">
        <v>235.5</v>
      </c>
      <c r="D130" s="99">
        <v>7.7</v>
      </c>
      <c r="E130" s="101">
        <f>D130/D107*100</f>
        <v>0.07513367940361423</v>
      </c>
      <c r="F130" s="89">
        <f t="shared" si="17"/>
        <v>4.904458598726115</v>
      </c>
      <c r="G130" s="89">
        <f t="shared" si="14"/>
        <v>3.26963906581741</v>
      </c>
      <c r="H130" s="90">
        <f t="shared" si="18"/>
        <v>149.3</v>
      </c>
      <c r="I130" s="90">
        <f t="shared" si="16"/>
        <v>227.8</v>
      </c>
      <c r="K130" s="153"/>
      <c r="L130" s="91"/>
      <c r="Q130" s="91"/>
    </row>
    <row r="131" spans="1:17" s="103" customFormat="1" ht="18.75">
      <c r="A131" s="92" t="s">
        <v>88</v>
      </c>
      <c r="B131" s="149">
        <v>15.9</v>
      </c>
      <c r="C131" s="94">
        <v>23.9</v>
      </c>
      <c r="D131" s="95">
        <v>7.7</v>
      </c>
      <c r="E131" s="96">
        <f>D131/D130*100</f>
        <v>100</v>
      </c>
      <c r="F131" s="96">
        <f>D131/B131*100</f>
        <v>48.42767295597484</v>
      </c>
      <c r="G131" s="96">
        <f t="shared" si="14"/>
        <v>32.21757322175732</v>
      </c>
      <c r="H131" s="94">
        <f t="shared" si="18"/>
        <v>8.2</v>
      </c>
      <c r="I131" s="94">
        <f t="shared" si="16"/>
        <v>16.2</v>
      </c>
      <c r="K131" s="153"/>
      <c r="L131" s="91"/>
      <c r="Q131" s="135"/>
    </row>
    <row r="132" spans="1:12" s="102" customFormat="1" ht="37.5">
      <c r="A132" s="97" t="s">
        <v>103</v>
      </c>
      <c r="B132" s="164">
        <v>80.8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80.8</v>
      </c>
      <c r="I132" s="90">
        <f t="shared" si="16"/>
        <v>121.2</v>
      </c>
      <c r="K132" s="153"/>
      <c r="L132" s="91"/>
    </row>
    <row r="133" spans="1:12" s="103" customFormat="1" ht="18.75" hidden="1">
      <c r="A133" s="100" t="s">
        <v>43</v>
      </c>
      <c r="B133" s="149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3"/>
      <c r="L133" s="91"/>
    </row>
    <row r="134" spans="1:12" s="102" customFormat="1" ht="35.25" customHeight="1" hidden="1">
      <c r="A134" s="97" t="s">
        <v>102</v>
      </c>
      <c r="B134" s="164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3"/>
      <c r="L134" s="91"/>
    </row>
    <row r="135" spans="1:12" s="102" customFormat="1" ht="21.75" customHeight="1" hidden="1">
      <c r="A135" s="97" t="s">
        <v>101</v>
      </c>
      <c r="B135" s="164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3"/>
      <c r="L135" s="91"/>
    </row>
    <row r="136" spans="1:12" s="102" customFormat="1" ht="35.25" customHeight="1">
      <c r="A136" s="97" t="s">
        <v>87</v>
      </c>
      <c r="B136" s="164">
        <v>247.2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247.2</v>
      </c>
      <c r="I136" s="90">
        <f t="shared" si="16"/>
        <v>370.8</v>
      </c>
      <c r="K136" s="153"/>
      <c r="L136" s="91"/>
    </row>
    <row r="137" spans="1:12" s="102" customFormat="1" ht="39" customHeight="1">
      <c r="A137" s="97" t="s">
        <v>54</v>
      </c>
      <c r="B137" s="164">
        <v>58.3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58.3</v>
      </c>
      <c r="I137" s="90">
        <f t="shared" si="16"/>
        <v>87.5</v>
      </c>
      <c r="K137" s="153"/>
      <c r="L137" s="91"/>
    </row>
    <row r="138" spans="1:12" s="103" customFormat="1" ht="18.75">
      <c r="A138" s="92" t="s">
        <v>88</v>
      </c>
      <c r="B138" s="149">
        <v>18.3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18.3</v>
      </c>
      <c r="I138" s="94">
        <f>C138-D138</f>
        <v>27.5</v>
      </c>
      <c r="K138" s="153"/>
      <c r="L138" s="91"/>
    </row>
    <row r="139" spans="1:12" s="102" customFormat="1" ht="32.25" customHeight="1">
      <c r="A139" s="97" t="s">
        <v>84</v>
      </c>
      <c r="B139" s="164">
        <v>101.3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101.3</v>
      </c>
      <c r="I139" s="90">
        <f t="shared" si="16"/>
        <v>151.9</v>
      </c>
      <c r="K139" s="153"/>
      <c r="L139" s="91"/>
    </row>
    <row r="140" spans="1:12" s="103" customFormat="1" ht="18.75">
      <c r="A140" s="92" t="s">
        <v>25</v>
      </c>
      <c r="B140" s="149">
        <v>98.3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98.3</v>
      </c>
      <c r="I140" s="94">
        <f t="shared" si="16"/>
        <v>147.9</v>
      </c>
      <c r="K140" s="153"/>
      <c r="L140" s="91"/>
    </row>
    <row r="141" spans="1:12" s="102" customFormat="1" ht="18.75">
      <c r="A141" s="97" t="s">
        <v>96</v>
      </c>
      <c r="B141" s="164">
        <v>293.3</v>
      </c>
      <c r="C141" s="98">
        <v>440</v>
      </c>
      <c r="D141" s="99">
        <f>33.6+100.1</f>
        <v>133.7</v>
      </c>
      <c r="E141" s="101">
        <f>D141/D107*100</f>
        <v>1.3045938878263925</v>
      </c>
      <c r="F141" s="89">
        <f t="shared" si="17"/>
        <v>45.584725536992835</v>
      </c>
      <c r="G141" s="89">
        <f t="shared" si="14"/>
        <v>30.386363636363633</v>
      </c>
      <c r="H141" s="90">
        <f t="shared" si="18"/>
        <v>159.60000000000002</v>
      </c>
      <c r="I141" s="90">
        <f t="shared" si="16"/>
        <v>306.3</v>
      </c>
      <c r="J141" s="144"/>
      <c r="K141" s="153"/>
      <c r="L141" s="91"/>
    </row>
    <row r="142" spans="1:13" s="103" customFormat="1" ht="18.75">
      <c r="A142" s="100" t="s">
        <v>43</v>
      </c>
      <c r="B142" s="149">
        <v>268.1</v>
      </c>
      <c r="C142" s="94">
        <v>402.6</v>
      </c>
      <c r="D142" s="95">
        <f>33.6+99.1</f>
        <v>132.7</v>
      </c>
      <c r="E142" s="96">
        <f>D142/D141*100</f>
        <v>99.25205684367988</v>
      </c>
      <c r="F142" s="96">
        <f aca="true" t="shared" si="19" ref="F142:F151">D142/B142*100</f>
        <v>49.49645654606489</v>
      </c>
      <c r="G142" s="96">
        <f t="shared" si="14"/>
        <v>32.96075509190263</v>
      </c>
      <c r="H142" s="94">
        <f t="shared" si="18"/>
        <v>135.40000000000003</v>
      </c>
      <c r="I142" s="94">
        <f t="shared" si="16"/>
        <v>269.90000000000003</v>
      </c>
      <c r="J142" s="145"/>
      <c r="K142" s="153"/>
      <c r="L142" s="91">
        <f>B108+B111+B114+B117+B119+B126+B127+B128+B130+B136+B71+B132+B137+B121+B113+B139+B70</f>
        <v>2202.7000000000003</v>
      </c>
      <c r="M142" s="135">
        <f>H69+H108+H114+H119+H121+H127+H128+H130+H132+H136+H137+H139</f>
        <v>2005.5</v>
      </c>
    </row>
    <row r="143" spans="1:13" s="103" customFormat="1" ht="18.75">
      <c r="A143" s="92" t="s">
        <v>25</v>
      </c>
      <c r="B143" s="149">
        <v>17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17</v>
      </c>
      <c r="I143" s="94">
        <f t="shared" si="16"/>
        <v>24.1</v>
      </c>
      <c r="J143" s="145"/>
      <c r="K143" s="153"/>
      <c r="L143" s="91"/>
      <c r="M143" s="135"/>
    </row>
    <row r="144" spans="1:12" s="102" customFormat="1" ht="33.75" customHeight="1" hidden="1">
      <c r="A144" s="105" t="s">
        <v>56</v>
      </c>
      <c r="B144" s="164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4"/>
      <c r="K144" s="153"/>
      <c r="L144" s="91"/>
    </row>
    <row r="145" spans="1:12" s="102" customFormat="1" ht="18.75" hidden="1">
      <c r="A145" s="105" t="s">
        <v>92</v>
      </c>
      <c r="B145" s="164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4"/>
      <c r="K145" s="153"/>
      <c r="L145" s="91"/>
    </row>
    <row r="146" spans="1:12" s="102" customFormat="1" ht="18.75">
      <c r="A146" s="105" t="s">
        <v>97</v>
      </c>
      <c r="B146" s="164">
        <v>16128.7</v>
      </c>
      <c r="C146" s="98">
        <v>24193</v>
      </c>
      <c r="D146" s="99">
        <f>457.7+20.2+2395.4+103.8</f>
        <v>2977.1000000000004</v>
      </c>
      <c r="E146" s="101">
        <f>D146/D107*100</f>
        <v>29.049412591233764</v>
      </c>
      <c r="F146" s="89">
        <f t="shared" si="19"/>
        <v>18.45840024304501</v>
      </c>
      <c r="G146" s="89">
        <f t="shared" si="14"/>
        <v>12.305625594180135</v>
      </c>
      <c r="H146" s="90">
        <f t="shared" si="18"/>
        <v>13151.6</v>
      </c>
      <c r="I146" s="90">
        <f t="shared" si="16"/>
        <v>21215.9</v>
      </c>
      <c r="J146" s="144"/>
      <c r="K146" s="153"/>
      <c r="L146" s="91"/>
    </row>
    <row r="147" spans="1:12" s="102" customFormat="1" ht="18.75" hidden="1">
      <c r="A147" s="105" t="s">
        <v>86</v>
      </c>
      <c r="B147" s="164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4"/>
      <c r="K147" s="153"/>
      <c r="L147" s="91"/>
    </row>
    <row r="148" spans="1:12" s="102" customFormat="1" ht="37.5" hidden="1">
      <c r="A148" s="105" t="s">
        <v>104</v>
      </c>
      <c r="B148" s="164"/>
      <c r="C148" s="98"/>
      <c r="D148" s="99"/>
      <c r="E148" s="101" t="e">
        <f>D148/D109*100</f>
        <v>#DIV/0!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4"/>
      <c r="K148" s="153"/>
      <c r="L148" s="91"/>
    </row>
    <row r="149" spans="1:12" s="102" customFormat="1" ht="18.75">
      <c r="A149" s="97" t="s">
        <v>98</v>
      </c>
      <c r="B149" s="164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4"/>
      <c r="K149" s="153"/>
      <c r="L149" s="91"/>
    </row>
    <row r="150" spans="1:12" s="102" customFormat="1" ht="18" customHeight="1" hidden="1">
      <c r="A150" s="97" t="s">
        <v>77</v>
      </c>
      <c r="B150" s="142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4"/>
      <c r="K150" s="153"/>
      <c r="L150" s="91"/>
    </row>
    <row r="151" spans="1:12" s="102" customFormat="1" ht="19.5" customHeight="1">
      <c r="A151" s="97" t="s">
        <v>50</v>
      </c>
      <c r="B151" s="142">
        <v>9702</v>
      </c>
      <c r="C151" s="98">
        <v>10263.9</v>
      </c>
      <c r="D151" s="99"/>
      <c r="E151" s="101">
        <f>D151/D107*100</f>
        <v>0</v>
      </c>
      <c r="F151" s="89">
        <f t="shared" si="19"/>
        <v>0</v>
      </c>
      <c r="G151" s="89">
        <f t="shared" si="14"/>
        <v>0</v>
      </c>
      <c r="H151" s="90">
        <f t="shared" si="18"/>
        <v>9702</v>
      </c>
      <c r="I151" s="90">
        <f>C151-D151</f>
        <v>10263.9</v>
      </c>
      <c r="K151" s="153"/>
      <c r="L151" s="91"/>
    </row>
    <row r="152" spans="1:12" s="102" customFormat="1" ht="18.75">
      <c r="A152" s="97" t="s">
        <v>99</v>
      </c>
      <c r="B152" s="142">
        <v>11320.4</v>
      </c>
      <c r="C152" s="98">
        <f>10558+6422</f>
        <v>16980</v>
      </c>
      <c r="D152" s="99">
        <f>1886.8+1886.8+1886.8</f>
        <v>5660.4</v>
      </c>
      <c r="E152" s="101">
        <f>D152/D107*100</f>
        <v>55.23203622028805</v>
      </c>
      <c r="F152" s="89">
        <f t="shared" si="17"/>
        <v>50.00176672202395</v>
      </c>
      <c r="G152" s="89">
        <f t="shared" si="14"/>
        <v>33.3356890459364</v>
      </c>
      <c r="H152" s="90">
        <f t="shared" si="18"/>
        <v>5660</v>
      </c>
      <c r="I152" s="90">
        <f t="shared" si="16"/>
        <v>11319.6</v>
      </c>
      <c r="K152" s="153"/>
      <c r="L152" s="91"/>
    </row>
    <row r="153" spans="1:12" s="2" customFormat="1" ht="19.5" thickBot="1">
      <c r="A153" s="26" t="s">
        <v>29</v>
      </c>
      <c r="B153" s="143"/>
      <c r="C153" s="60"/>
      <c r="D153" s="41">
        <f>D43+D69+D72+D77+D79+D87+D102+D107+D100+D84+D98</f>
        <v>12208.199999999997</v>
      </c>
      <c r="E153" s="14"/>
      <c r="F153" s="14"/>
      <c r="G153" s="6"/>
      <c r="H153" s="49"/>
      <c r="I153" s="41"/>
      <c r="K153" s="153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315795.3</v>
      </c>
      <c r="C154" s="37">
        <f>C6+C18+C33+C43+C51+C59+C69+C72+C77+C79+C87+C90+C95+C102+C107+C100+C84+C98+C45</f>
        <v>469433.39999999997</v>
      </c>
      <c r="D154" s="37">
        <f>D6+D18+D33+D43+D51+D59+D69+D72+D77+D79+D87+D90+D95+D102+D107+D100+D84+D98+D45</f>
        <v>116876.70000000001</v>
      </c>
      <c r="E154" s="25">
        <v>100</v>
      </c>
      <c r="F154" s="3">
        <f>D154/B154*100</f>
        <v>37.01027216047865</v>
      </c>
      <c r="G154" s="3">
        <f aca="true" t="shared" si="20" ref="G154:G160">D154/C154*100</f>
        <v>24.89739758611126</v>
      </c>
      <c r="H154" s="37">
        <f>B154-D154</f>
        <v>198918.59999999998</v>
      </c>
      <c r="I154" s="37">
        <f aca="true" t="shared" si="21" ref="I154:I160">C154-D154</f>
        <v>352556.69999999995</v>
      </c>
      <c r="K154" s="136">
        <f>D154-114199.9</f>
        <v>2676.8000000000175</v>
      </c>
      <c r="L154" s="157"/>
    </row>
    <row r="155" spans="1:12" ht="18.75">
      <c r="A155" s="15" t="s">
        <v>5</v>
      </c>
      <c r="B155" s="48">
        <f>B8+B20+B34+B52+B60+B91+B115+B120+B46+B142+B133+B103</f>
        <v>149465.5</v>
      </c>
      <c r="C155" s="48">
        <f>C8+C20+C34+C52+C60+C91+C115+C120+C46+C142+C133+C103</f>
        <v>226542.90000000002</v>
      </c>
      <c r="D155" s="48">
        <f>D8+D20+D34+D52+D60+D91+D115+D120+D46+D142+D133+D103</f>
        <v>75375.6</v>
      </c>
      <c r="E155" s="6">
        <f>D155/D154*100</f>
        <v>64.49155391964352</v>
      </c>
      <c r="F155" s="6">
        <f aca="true" t="shared" si="22" ref="F155:F160">D155/B155*100</f>
        <v>50.43009925367393</v>
      </c>
      <c r="G155" s="6">
        <f t="shared" si="20"/>
        <v>33.272108726426644</v>
      </c>
      <c r="H155" s="49">
        <f aca="true" t="shared" si="23" ref="H155:H160">B155-D155</f>
        <v>74089.9</v>
      </c>
      <c r="I155" s="59">
        <f t="shared" si="21"/>
        <v>151167.30000000002</v>
      </c>
      <c r="K155" s="153"/>
      <c r="L155" s="157"/>
    </row>
    <row r="156" spans="1:12" ht="18.75">
      <c r="A156" s="15" t="s">
        <v>0</v>
      </c>
      <c r="B156" s="162">
        <f>B11+B23+B36+B55+B62+B92+B49+B143+B109+B112+B96+B140+B129</f>
        <v>25075.500000000004</v>
      </c>
      <c r="C156" s="162">
        <f>C11+C23+C36+C55+C62+C92+C49+C143+C109+C112+C96+C140+C129</f>
        <v>35526.200000000004</v>
      </c>
      <c r="D156" s="162">
        <f>D11+D23+D36+D55+D62+D92+D49+D143+D109+D112+D96+D140+D129</f>
        <v>158.6</v>
      </c>
      <c r="E156" s="6">
        <f>D156/D154*100</f>
        <v>0.13569856096210792</v>
      </c>
      <c r="F156" s="6">
        <f t="shared" si="22"/>
        <v>0.6324898805607065</v>
      </c>
      <c r="G156" s="6">
        <f t="shared" si="20"/>
        <v>0.44643108466427583</v>
      </c>
      <c r="H156" s="49">
        <f>B156-D156</f>
        <v>24916.900000000005</v>
      </c>
      <c r="I156" s="59">
        <f t="shared" si="21"/>
        <v>35367.600000000006</v>
      </c>
      <c r="K156" s="153"/>
      <c r="L156" s="158"/>
    </row>
    <row r="157" spans="1:12" ht="18.75">
      <c r="A157" s="15" t="s">
        <v>1</v>
      </c>
      <c r="B157" s="163">
        <f>B22+B10+B54+B48+B61+B35+B124</f>
        <v>9271.3</v>
      </c>
      <c r="C157" s="163">
        <f>C22+C10+C54+C48+C61+C35+C124</f>
        <v>13639.7</v>
      </c>
      <c r="D157" s="163">
        <f>D22+D10+D54+D48+D61+D35+D124</f>
        <v>1671.6999999999998</v>
      </c>
      <c r="E157" s="6">
        <f>D157/D154*100</f>
        <v>1.430310746282193</v>
      </c>
      <c r="F157" s="6">
        <f t="shared" si="22"/>
        <v>18.03091260125333</v>
      </c>
      <c r="G157" s="6">
        <f t="shared" si="20"/>
        <v>12.256134665718452</v>
      </c>
      <c r="H157" s="49">
        <f t="shared" si="23"/>
        <v>7599.599999999999</v>
      </c>
      <c r="I157" s="59">
        <f t="shared" si="21"/>
        <v>11968</v>
      </c>
      <c r="K157" s="153"/>
      <c r="L157" s="157"/>
    </row>
    <row r="158" spans="1:12" ht="21" customHeight="1">
      <c r="A158" s="15" t="s">
        <v>14</v>
      </c>
      <c r="B158" s="163">
        <f>B12+B24+B104+B63+B38+B93+B131+B56+B138+B118</f>
        <v>12267.899999999998</v>
      </c>
      <c r="C158" s="163">
        <f>C12+C24+C104+C63+C38+C93+C131+C56+C138+C118</f>
        <v>18430.100000000002</v>
      </c>
      <c r="D158" s="163">
        <f>D12+D24+D104+D63+D38+D93+D131+D56+D138+D118</f>
        <v>2947.7</v>
      </c>
      <c r="E158" s="6">
        <f>D158/D154*100</f>
        <v>2.5220595721816235</v>
      </c>
      <c r="F158" s="6">
        <f t="shared" si="22"/>
        <v>24.027747210198978</v>
      </c>
      <c r="G158" s="6">
        <f t="shared" si="20"/>
        <v>15.993944688308797</v>
      </c>
      <c r="H158" s="49">
        <f>B158-D158</f>
        <v>9320.199999999997</v>
      </c>
      <c r="I158" s="59">
        <f t="shared" si="21"/>
        <v>15482.400000000001</v>
      </c>
      <c r="K158" s="153"/>
      <c r="L158" s="158"/>
    </row>
    <row r="159" spans="1:12" ht="18.75">
      <c r="A159" s="15" t="s">
        <v>2</v>
      </c>
      <c r="B159" s="48">
        <f>B9+B21+B47+B53+B123</f>
        <v>0</v>
      </c>
      <c r="C159" s="48">
        <f>C9+C21+C47+C53+C123</f>
        <v>0</v>
      </c>
      <c r="D159" s="48">
        <f>D9+D21+D47+D53+D123</f>
        <v>0</v>
      </c>
      <c r="E159" s="6">
        <f>D159/D154*100</f>
        <v>0</v>
      </c>
      <c r="F159" s="6" t="e">
        <f t="shared" si="22"/>
        <v>#DIV/0!</v>
      </c>
      <c r="G159" s="6" t="e">
        <f t="shared" si="20"/>
        <v>#DIV/0!</v>
      </c>
      <c r="H159" s="49">
        <f t="shared" si="23"/>
        <v>0</v>
      </c>
      <c r="I159" s="59">
        <f t="shared" si="21"/>
        <v>0</v>
      </c>
      <c r="K159" s="153"/>
      <c r="L159" s="157"/>
    </row>
    <row r="160" spans="1:12" ht="19.5" thickBot="1">
      <c r="A160" s="81" t="s">
        <v>27</v>
      </c>
      <c r="B160" s="61">
        <f>B154-B155-B156-B157-B158-B159</f>
        <v>119715.1</v>
      </c>
      <c r="C160" s="61">
        <f>C154-C155-C156-C157-C158-C159</f>
        <v>175294.4999999999</v>
      </c>
      <c r="D160" s="61">
        <f>D154-D155-D156-D157-D158-D159</f>
        <v>36723.10000000001</v>
      </c>
      <c r="E160" s="28">
        <f>D160/D154*100</f>
        <v>31.42037720093056</v>
      </c>
      <c r="F160" s="28">
        <f t="shared" si="22"/>
        <v>30.675411873690127</v>
      </c>
      <c r="G160" s="28">
        <f t="shared" si="20"/>
        <v>20.949373768144483</v>
      </c>
      <c r="H160" s="82">
        <f t="shared" si="23"/>
        <v>82992</v>
      </c>
      <c r="I160" s="82">
        <f t="shared" si="21"/>
        <v>138571.3999999999</v>
      </c>
      <c r="K160" s="153"/>
      <c r="L160" s="158"/>
    </row>
    <row r="161" spans="7:8" ht="12.75">
      <c r="G161" s="159"/>
      <c r="H161" s="159"/>
    </row>
    <row r="162" spans="3:11" ht="12.75">
      <c r="C162" s="153"/>
      <c r="G162" s="159"/>
      <c r="H162" s="159"/>
      <c r="I162" s="159"/>
      <c r="K162" s="160"/>
    </row>
    <row r="163" spans="4:11" ht="12.75">
      <c r="D163" s="153"/>
      <c r="G163" s="159"/>
      <c r="H163" s="159"/>
      <c r="K163" s="160"/>
    </row>
    <row r="164" spans="7:11" ht="12.75">
      <c r="G164" s="159"/>
      <c r="H164" s="159"/>
      <c r="K164" s="160"/>
    </row>
    <row r="165" spans="2:8" ht="12.75">
      <c r="B165" s="161"/>
      <c r="C165" s="161"/>
      <c r="D165" s="153"/>
      <c r="G165" s="159"/>
      <c r="H165" s="159"/>
    </row>
    <row r="166" spans="7:8" ht="12.75">
      <c r="G166" s="159"/>
      <c r="H166" s="159"/>
    </row>
    <row r="167" spans="2:8" ht="12.75">
      <c r="B167" s="161"/>
      <c r="C167" s="161"/>
      <c r="D167" s="161"/>
      <c r="G167" s="159"/>
      <c r="H167" s="159"/>
    </row>
    <row r="168" spans="2:8" ht="12.75">
      <c r="B168" s="161"/>
      <c r="G168" s="159"/>
      <c r="H168" s="159"/>
    </row>
    <row r="169" spans="2:8" ht="12.75">
      <c r="B169" s="161"/>
      <c r="C169" s="153"/>
      <c r="G169" s="159"/>
      <c r="H169" s="159"/>
    </row>
    <row r="170" spans="7:8" ht="12.75">
      <c r="G170" s="159"/>
      <c r="H170" s="159"/>
    </row>
    <row r="171" spans="7:8" ht="12.75">
      <c r="G171" s="159"/>
      <c r="H171" s="159"/>
    </row>
    <row r="172" spans="7:8" ht="12.75">
      <c r="G172" s="159"/>
      <c r="H172" s="159"/>
    </row>
    <row r="173" spans="7:8" ht="12.75">
      <c r="G173" s="159"/>
      <c r="H173" s="159"/>
    </row>
    <row r="174" spans="7:8" ht="12.75">
      <c r="G174" s="159"/>
      <c r="H174" s="159"/>
    </row>
    <row r="175" spans="3:8" ht="12.75">
      <c r="C175" s="153"/>
      <c r="G175" s="159"/>
      <c r="H175" s="159"/>
    </row>
    <row r="176" spans="7:8" ht="12.75">
      <c r="G176" s="159"/>
      <c r="H176" s="159"/>
    </row>
    <row r="177" spans="7:8" ht="12.75">
      <c r="G177" s="159"/>
      <c r="H177" s="159"/>
    </row>
    <row r="178" spans="7:8" ht="12.75">
      <c r="G178" s="159"/>
      <c r="H178" s="159"/>
    </row>
    <row r="179" spans="7:8" ht="12.75">
      <c r="G179" s="159"/>
      <c r="H179" s="159"/>
    </row>
    <row r="180" spans="7:8" ht="12.75">
      <c r="G180" s="159"/>
      <c r="H180" s="159"/>
    </row>
    <row r="181" spans="7:8" ht="12.75">
      <c r="G181" s="159"/>
      <c r="H181" s="159"/>
    </row>
    <row r="182" spans="7:8" ht="12.75">
      <c r="G182" s="159"/>
      <c r="H182" s="159"/>
    </row>
    <row r="183" spans="7:8" ht="12.75">
      <c r="G183" s="159"/>
      <c r="H183" s="159"/>
    </row>
    <row r="184" spans="7:8" ht="12.75">
      <c r="G184" s="159"/>
      <c r="H184" s="159"/>
    </row>
    <row r="185" spans="7:8" ht="12.75">
      <c r="G185" s="159"/>
      <c r="H185" s="159"/>
    </row>
    <row r="186" spans="7:8" ht="12.75">
      <c r="G186" s="159"/>
      <c r="H186" s="159"/>
    </row>
    <row r="187" spans="7:8" ht="12.75">
      <c r="G187" s="159"/>
      <c r="H187" s="159"/>
    </row>
    <row r="188" spans="7:8" ht="12.75">
      <c r="G188" s="159"/>
      <c r="H188" s="159"/>
    </row>
    <row r="189" spans="7:8" ht="12.75">
      <c r="G189" s="159"/>
      <c r="H189" s="159"/>
    </row>
    <row r="190" spans="7:8" ht="12.75">
      <c r="G190" s="159"/>
      <c r="H190" s="159"/>
    </row>
    <row r="191" spans="7:8" ht="12.75">
      <c r="G191" s="159"/>
      <c r="H191" s="159"/>
    </row>
    <row r="192" spans="7:8" ht="12.75">
      <c r="G192" s="159"/>
      <c r="H192" s="159"/>
    </row>
    <row r="193" spans="7:8" ht="12.75">
      <c r="G193" s="159"/>
      <c r="H193" s="159"/>
    </row>
    <row r="194" spans="7:8" ht="12.75">
      <c r="G194" s="159"/>
      <c r="H194" s="159"/>
    </row>
    <row r="195" spans="7:8" ht="12.75">
      <c r="G195" s="159"/>
      <c r="H195" s="159"/>
    </row>
    <row r="196" spans="7:8" ht="12.75">
      <c r="G196" s="159"/>
      <c r="H196" s="159"/>
    </row>
    <row r="197" spans="7:8" ht="12.75">
      <c r="G197" s="159"/>
      <c r="H197" s="159"/>
    </row>
    <row r="198" spans="7:8" ht="12.75">
      <c r="G198" s="159"/>
      <c r="H198" s="159"/>
    </row>
    <row r="199" spans="7:8" ht="12.75">
      <c r="G199" s="159"/>
      <c r="H199" s="159"/>
    </row>
    <row r="200" spans="7:8" ht="12.75">
      <c r="G200" s="159"/>
      <c r="H200" s="159"/>
    </row>
    <row r="201" spans="7:8" ht="12.75">
      <c r="G201" s="159"/>
      <c r="H201" s="159"/>
    </row>
    <row r="202" spans="7:8" ht="12.75">
      <c r="G202" s="159"/>
      <c r="H202" s="159"/>
    </row>
    <row r="203" spans="7:8" ht="12.75">
      <c r="G203" s="159"/>
      <c r="H203" s="159"/>
    </row>
    <row r="204" spans="7:8" ht="12.75">
      <c r="G204" s="159"/>
      <c r="H204" s="159"/>
    </row>
    <row r="205" spans="7:8" ht="12.75">
      <c r="G205" s="159"/>
      <c r="H205" s="159"/>
    </row>
    <row r="206" spans="7:8" ht="12.75">
      <c r="G206" s="159"/>
      <c r="H206" s="159"/>
    </row>
    <row r="207" spans="7:8" ht="12.75">
      <c r="G207" s="159"/>
      <c r="H207" s="159"/>
    </row>
    <row r="208" spans="7:8" ht="12.75">
      <c r="G208" s="159"/>
      <c r="H208" s="159"/>
    </row>
    <row r="209" spans="7:8" ht="12.75">
      <c r="G209" s="159"/>
      <c r="H209" s="159"/>
    </row>
    <row r="210" spans="7:8" ht="12.75">
      <c r="G210" s="159"/>
      <c r="H210" s="159"/>
    </row>
    <row r="211" spans="7:8" ht="12.75">
      <c r="G211" s="159"/>
      <c r="H211" s="159"/>
    </row>
    <row r="212" spans="7:8" ht="12.75">
      <c r="G212" s="159"/>
      <c r="H212" s="159"/>
    </row>
    <row r="213" spans="7:8" ht="12.75">
      <c r="G213" s="159"/>
      <c r="H213" s="159"/>
    </row>
    <row r="214" spans="7:8" ht="12.75">
      <c r="G214" s="159"/>
      <c r="H214" s="159"/>
    </row>
    <row r="215" spans="7:8" ht="12.75">
      <c r="G215" s="159"/>
      <c r="H215" s="159"/>
    </row>
    <row r="216" spans="7:8" ht="12.75">
      <c r="G216" s="159"/>
      <c r="H216" s="159"/>
    </row>
    <row r="217" spans="7:8" ht="12.75">
      <c r="G217" s="159"/>
      <c r="H217" s="159"/>
    </row>
    <row r="218" spans="7:8" ht="12.75">
      <c r="G218" s="159"/>
      <c r="H218" s="159"/>
    </row>
    <row r="219" spans="7:8" ht="12.75">
      <c r="G219" s="159"/>
      <c r="H219" s="159"/>
    </row>
    <row r="220" spans="7:8" ht="12.75">
      <c r="G220" s="159"/>
      <c r="H220" s="159"/>
    </row>
    <row r="221" spans="7:8" ht="12.75">
      <c r="G221" s="159"/>
      <c r="H221" s="159"/>
    </row>
    <row r="222" spans="7:8" ht="12.75">
      <c r="G222" s="159"/>
      <c r="H222" s="159"/>
    </row>
    <row r="223" spans="7:8" ht="12.75">
      <c r="G223" s="159"/>
      <c r="H223" s="159"/>
    </row>
    <row r="224" spans="7:8" ht="12.75">
      <c r="G224" s="159"/>
      <c r="H224" s="159"/>
    </row>
    <row r="225" spans="7:8" ht="12.75">
      <c r="G225" s="159"/>
      <c r="H225" s="159"/>
    </row>
    <row r="226" spans="7:8" ht="12.75">
      <c r="G226" s="159"/>
      <c r="H226" s="159"/>
    </row>
    <row r="227" spans="7:8" ht="12.75">
      <c r="G227" s="159"/>
      <c r="H227" s="159"/>
    </row>
    <row r="228" spans="7:8" ht="12.75">
      <c r="G228" s="159"/>
      <c r="H228" s="159"/>
    </row>
    <row r="229" spans="7:8" ht="12.75">
      <c r="G229" s="159"/>
      <c r="H229" s="159"/>
    </row>
    <row r="230" spans="7:8" ht="12.75">
      <c r="G230" s="159"/>
      <c r="H230" s="159"/>
    </row>
    <row r="231" spans="7:8" ht="12.75">
      <c r="G231" s="159"/>
      <c r="H231" s="159"/>
    </row>
    <row r="232" spans="7:8" ht="12.75">
      <c r="G232" s="159"/>
      <c r="H232" s="159"/>
    </row>
    <row r="233" spans="7:8" ht="12.75">
      <c r="G233" s="159"/>
      <c r="H233" s="159"/>
    </row>
    <row r="234" spans="7:8" ht="12.75">
      <c r="G234" s="159"/>
      <c r="H234" s="159"/>
    </row>
    <row r="235" spans="7:8" ht="12.75">
      <c r="G235" s="159"/>
      <c r="H235" s="159"/>
    </row>
    <row r="236" spans="7:8" ht="12.75">
      <c r="G236" s="159"/>
      <c r="H236" s="159"/>
    </row>
    <row r="237" spans="7:8" ht="12.75">
      <c r="G237" s="159"/>
      <c r="H237" s="159"/>
    </row>
    <row r="238" spans="7:8" ht="12.75">
      <c r="G238" s="159"/>
      <c r="H238" s="159"/>
    </row>
    <row r="239" spans="7:8" ht="12.75">
      <c r="G239" s="159"/>
      <c r="H239" s="159"/>
    </row>
    <row r="240" spans="7:8" ht="12.75">
      <c r="G240" s="159"/>
      <c r="H240" s="159"/>
    </row>
    <row r="241" spans="7:8" ht="12.75">
      <c r="G241" s="159"/>
      <c r="H241" s="159"/>
    </row>
    <row r="242" spans="7:8" ht="12.75">
      <c r="G242" s="159"/>
      <c r="H242" s="159"/>
    </row>
    <row r="243" spans="7:8" ht="12.75">
      <c r="G243" s="159"/>
      <c r="H243" s="159"/>
    </row>
    <row r="244" spans="7:8" ht="12.75">
      <c r="G244" s="159"/>
      <c r="H244" s="159"/>
    </row>
    <row r="245" spans="7:8" ht="12.75">
      <c r="G245" s="159"/>
      <c r="H245" s="159"/>
    </row>
    <row r="246" spans="7:8" ht="12.75">
      <c r="G246" s="159"/>
      <c r="H246" s="159"/>
    </row>
    <row r="247" spans="7:8" ht="12.75">
      <c r="G247" s="159"/>
      <c r="H247" s="159"/>
    </row>
    <row r="248" spans="7:8" ht="12.75">
      <c r="G248" s="159"/>
      <c r="H248" s="159"/>
    </row>
    <row r="249" spans="7:8" ht="12.75">
      <c r="G249" s="159"/>
      <c r="H249" s="159"/>
    </row>
    <row r="250" spans="7:8" ht="12.75">
      <c r="G250" s="159"/>
      <c r="H250" s="159"/>
    </row>
    <row r="251" spans="7:8" ht="12.75">
      <c r="G251" s="159"/>
      <c r="H251" s="159"/>
    </row>
    <row r="252" spans="7:8" ht="12.75">
      <c r="G252" s="159"/>
      <c r="H252" s="159"/>
    </row>
    <row r="253" spans="7:8" ht="12.75">
      <c r="G253" s="159"/>
      <c r="H253" s="159"/>
    </row>
    <row r="254" spans="7:8" ht="12.75">
      <c r="G254" s="159"/>
      <c r="H254" s="159"/>
    </row>
    <row r="255" spans="7:8" ht="12.75">
      <c r="G255" s="159"/>
      <c r="H255" s="159"/>
    </row>
    <row r="256" spans="7:8" ht="12.75">
      <c r="G256" s="159"/>
      <c r="H256" s="159"/>
    </row>
    <row r="257" spans="7:8" ht="12.75">
      <c r="G257" s="159"/>
      <c r="H257" s="159"/>
    </row>
    <row r="258" spans="7:8" ht="12.75">
      <c r="G258" s="159"/>
      <c r="H258" s="159"/>
    </row>
    <row r="259" spans="7:8" ht="12.75">
      <c r="G259" s="159"/>
      <c r="H259" s="159"/>
    </row>
    <row r="260" spans="7:8" ht="12.75">
      <c r="G260" s="159"/>
      <c r="H260" s="159"/>
    </row>
    <row r="261" spans="7:8" ht="12.75">
      <c r="G261" s="159"/>
      <c r="H261" s="159"/>
    </row>
    <row r="262" spans="7:8" ht="12.75">
      <c r="G262" s="159"/>
      <c r="H262" s="159"/>
    </row>
    <row r="263" spans="7:8" ht="12.75">
      <c r="G263" s="159"/>
      <c r="H263" s="159"/>
    </row>
    <row r="264" spans="7:8" ht="12.75">
      <c r="G264" s="159"/>
      <c r="H264" s="159"/>
    </row>
    <row r="265" spans="7:8" ht="12.75">
      <c r="G265" s="159"/>
      <c r="H265" s="159"/>
    </row>
    <row r="266" spans="7:8" ht="12.75">
      <c r="G266" s="159"/>
      <c r="H266" s="159"/>
    </row>
    <row r="267" spans="7:8" ht="12.75">
      <c r="G267" s="159"/>
      <c r="H267" s="159"/>
    </row>
    <row r="268" spans="7:8" ht="12.75">
      <c r="G268" s="159"/>
      <c r="H268" s="159"/>
    </row>
    <row r="269" spans="7:8" ht="12.75">
      <c r="G269" s="159"/>
      <c r="H269" s="159"/>
    </row>
    <row r="270" spans="7:8" ht="12.75">
      <c r="G270" s="159"/>
      <c r="H270" s="159"/>
    </row>
    <row r="271" spans="7:8" ht="12.75">
      <c r="G271" s="159"/>
      <c r="H271" s="159"/>
    </row>
    <row r="272" spans="7:8" ht="12.75">
      <c r="G272" s="159"/>
      <c r="H272" s="159"/>
    </row>
    <row r="273" spans="7:8" ht="12.75">
      <c r="G273" s="159"/>
      <c r="H273" s="159"/>
    </row>
    <row r="274" spans="7:8" ht="12.75">
      <c r="G274" s="159"/>
      <c r="H274" s="159"/>
    </row>
    <row r="275" spans="7:8" ht="12.75">
      <c r="G275" s="159"/>
      <c r="H275" s="159"/>
    </row>
    <row r="276" spans="7:8" ht="12.75">
      <c r="G276" s="159"/>
      <c r="H276" s="159"/>
    </row>
    <row r="277" spans="7:8" ht="12.75">
      <c r="G277" s="159"/>
      <c r="H277" s="159"/>
    </row>
    <row r="278" spans="7:8" ht="12.75">
      <c r="G278" s="159"/>
      <c r="H278" s="159"/>
    </row>
    <row r="279" spans="7:8" ht="12.75">
      <c r="G279" s="159"/>
      <c r="H279" s="159"/>
    </row>
    <row r="280" spans="7:8" ht="12.75">
      <c r="G280" s="159"/>
      <c r="H280" s="159"/>
    </row>
    <row r="281" spans="7:8" ht="12.75">
      <c r="G281" s="159"/>
      <c r="H281" s="159"/>
    </row>
    <row r="282" spans="7:8" ht="12.75">
      <c r="G282" s="159"/>
      <c r="H282" s="159"/>
    </row>
    <row r="283" spans="7:8" ht="12.75">
      <c r="G283" s="159"/>
      <c r="H283" s="159"/>
    </row>
    <row r="284" spans="7:8" ht="12.75">
      <c r="G284" s="159"/>
      <c r="H284" s="159"/>
    </row>
    <row r="285" spans="7:8" ht="12.75">
      <c r="G285" s="159"/>
      <c r="H285" s="159"/>
    </row>
    <row r="286" spans="7:8" ht="12.75">
      <c r="G286" s="159"/>
      <c r="H286" s="159"/>
    </row>
    <row r="287" spans="7:8" ht="12.75">
      <c r="G287" s="159"/>
      <c r="H287" s="159"/>
    </row>
    <row r="288" spans="7:8" ht="12.75">
      <c r="G288" s="159"/>
      <c r="H288" s="159"/>
    </row>
    <row r="289" spans="7:8" ht="12.75">
      <c r="G289" s="159"/>
      <c r="H289" s="159"/>
    </row>
    <row r="290" spans="7:8" ht="12.75">
      <c r="G290" s="159"/>
      <c r="H290" s="159"/>
    </row>
    <row r="291" spans="7:8" ht="12.75">
      <c r="G291" s="159"/>
      <c r="H291" s="159"/>
    </row>
    <row r="292" spans="7:8" ht="12.75">
      <c r="G292" s="159"/>
      <c r="H292" s="159"/>
    </row>
    <row r="293" spans="7:8" ht="12.75">
      <c r="G293" s="159"/>
      <c r="H293" s="159"/>
    </row>
    <row r="294" spans="7:8" ht="12.75">
      <c r="G294" s="159"/>
      <c r="H294" s="159"/>
    </row>
    <row r="295" spans="7:8" ht="12.75">
      <c r="G295" s="159"/>
      <c r="H295" s="159"/>
    </row>
    <row r="296" spans="7:8" ht="12.75">
      <c r="G296" s="159"/>
      <c r="H296" s="159"/>
    </row>
    <row r="297" spans="7:8" ht="12.75">
      <c r="G297" s="159"/>
      <c r="H297" s="159"/>
    </row>
    <row r="298" spans="7:8" ht="12.75">
      <c r="G298" s="159"/>
      <c r="H298" s="159"/>
    </row>
    <row r="299" spans="7:8" ht="12.75">
      <c r="G299" s="159"/>
      <c r="H299" s="159"/>
    </row>
    <row r="300" spans="7:8" ht="12.75">
      <c r="G300" s="159"/>
      <c r="H300" s="159"/>
    </row>
    <row r="301" spans="7:8" ht="12.75">
      <c r="G301" s="159"/>
      <c r="H301" s="159"/>
    </row>
    <row r="302" spans="7:8" ht="12.75">
      <c r="G302" s="159"/>
      <c r="H302" s="159"/>
    </row>
    <row r="303" spans="7:8" ht="12.75">
      <c r="G303" s="159"/>
      <c r="H303" s="159"/>
    </row>
    <row r="304" spans="7:8" ht="12.75">
      <c r="G304" s="159"/>
      <c r="H304" s="159"/>
    </row>
    <row r="305" spans="7:8" ht="12.75">
      <c r="G305" s="159"/>
      <c r="H305" s="159"/>
    </row>
    <row r="306" spans="7:8" ht="12.75">
      <c r="G306" s="159"/>
      <c r="H306" s="159"/>
    </row>
    <row r="307" spans="7:8" ht="12.75">
      <c r="G307" s="159"/>
      <c r="H307" s="159"/>
    </row>
    <row r="308" spans="7:8" ht="12.75">
      <c r="G308" s="159"/>
      <c r="H308" s="159"/>
    </row>
    <row r="309" spans="7:8" ht="12.75">
      <c r="G309" s="159"/>
      <c r="H309" s="159"/>
    </row>
    <row r="310" spans="7:8" ht="12.75">
      <c r="G310" s="159"/>
      <c r="H310" s="159"/>
    </row>
    <row r="311" spans="7:8" ht="12.75">
      <c r="G311" s="159"/>
      <c r="H311" s="159"/>
    </row>
    <row r="312" spans="7:8" ht="12.75">
      <c r="G312" s="159"/>
      <c r="H312" s="159"/>
    </row>
    <row r="313" spans="7:8" ht="12.75">
      <c r="G313" s="159"/>
      <c r="H313" s="159"/>
    </row>
    <row r="314" spans="7:8" ht="12.75">
      <c r="G314" s="159"/>
      <c r="H314" s="159"/>
    </row>
    <row r="315" spans="7:8" ht="12.75">
      <c r="G315" s="159"/>
      <c r="H315" s="159"/>
    </row>
    <row r="316" spans="7:8" ht="12.75">
      <c r="G316" s="159"/>
      <c r="H316" s="159"/>
    </row>
    <row r="317" spans="7:8" ht="12.75">
      <c r="G317" s="159"/>
      <c r="H317" s="159"/>
    </row>
    <row r="318" spans="7:8" ht="12.75">
      <c r="G318" s="159"/>
      <c r="H318" s="159"/>
    </row>
    <row r="319" spans="7:8" ht="12.75">
      <c r="G319" s="159"/>
      <c r="H319" s="159"/>
    </row>
    <row r="320" spans="7:8" ht="12.75">
      <c r="G320" s="159"/>
      <c r="H320" s="159"/>
    </row>
    <row r="321" spans="7:8" ht="12.75">
      <c r="G321" s="159"/>
      <c r="H321" s="159"/>
    </row>
    <row r="322" spans="7:8" ht="12.75">
      <c r="G322" s="159"/>
      <c r="H322" s="159"/>
    </row>
    <row r="323" spans="7:8" ht="12.75">
      <c r="G323" s="159"/>
      <c r="H323" s="159"/>
    </row>
    <row r="324" spans="7:8" ht="12.75">
      <c r="G324" s="159"/>
      <c r="H324" s="159"/>
    </row>
    <row r="325" spans="7:8" ht="12.75">
      <c r="G325" s="159"/>
      <c r="H325" s="159"/>
    </row>
    <row r="326" spans="7:8" ht="12.75">
      <c r="G326" s="159"/>
      <c r="H326" s="159"/>
    </row>
    <row r="327" spans="7:8" ht="12.75">
      <c r="G327" s="159"/>
      <c r="H327" s="159"/>
    </row>
    <row r="328" spans="7:8" ht="12.75">
      <c r="G328" s="159"/>
      <c r="H328" s="159"/>
    </row>
    <row r="329" spans="7:8" ht="12.75">
      <c r="G329" s="159"/>
      <c r="H329" s="159"/>
    </row>
    <row r="330" spans="7:8" ht="12.75">
      <c r="G330" s="159"/>
      <c r="H330" s="159"/>
    </row>
    <row r="331" spans="7:8" ht="12.75">
      <c r="G331" s="159"/>
      <c r="H331" s="159"/>
    </row>
    <row r="332" spans="7:8" ht="12.75">
      <c r="G332" s="159"/>
      <c r="H332" s="159"/>
    </row>
    <row r="333" spans="7:8" ht="12.75">
      <c r="G333" s="159"/>
      <c r="H333" s="159"/>
    </row>
    <row r="334" spans="7:8" ht="12.75">
      <c r="G334" s="159"/>
      <c r="H334" s="159"/>
    </row>
    <row r="335" spans="7:8" ht="12.75">
      <c r="G335" s="159"/>
      <c r="H335" s="159"/>
    </row>
    <row r="336" spans="7:8" ht="12.75">
      <c r="G336" s="159"/>
      <c r="H336" s="159"/>
    </row>
    <row r="337" spans="7:8" ht="12.75">
      <c r="G337" s="159"/>
      <c r="H337" s="159"/>
    </row>
    <row r="338" spans="7:8" ht="12.75">
      <c r="G338" s="159"/>
      <c r="H338" s="159"/>
    </row>
    <row r="339" spans="7:8" ht="12.75">
      <c r="G339" s="159"/>
      <c r="H339" s="159"/>
    </row>
    <row r="340" spans="7:8" ht="12.75">
      <c r="G340" s="159"/>
      <c r="H340" s="159"/>
    </row>
    <row r="341" spans="7:8" ht="12.75">
      <c r="G341" s="159"/>
      <c r="H341" s="159"/>
    </row>
    <row r="342" spans="7:8" ht="12.75">
      <c r="G342" s="159"/>
      <c r="H342" s="159"/>
    </row>
    <row r="343" spans="7:8" ht="12.75">
      <c r="G343" s="159"/>
      <c r="H343" s="159"/>
    </row>
    <row r="344" spans="7:8" ht="12.75">
      <c r="G344" s="159"/>
      <c r="H344" s="159"/>
    </row>
    <row r="345" spans="7:8" ht="12.75">
      <c r="G345" s="159"/>
      <c r="H345" s="159"/>
    </row>
    <row r="346" spans="7:8" ht="12.75">
      <c r="G346" s="159"/>
      <c r="H346" s="159"/>
    </row>
    <row r="347" spans="7:8" ht="12.75">
      <c r="G347" s="159"/>
      <c r="H347" s="159"/>
    </row>
    <row r="348" spans="7:8" ht="12.75">
      <c r="G348" s="159"/>
      <c r="H348" s="159"/>
    </row>
    <row r="349" spans="7:8" ht="12.75">
      <c r="G349" s="159"/>
      <c r="H349" s="159"/>
    </row>
    <row r="350" spans="7:8" ht="12.75">
      <c r="G350" s="159"/>
      <c r="H350" s="159"/>
    </row>
    <row r="351" spans="7:8" ht="12.75">
      <c r="G351" s="159"/>
      <c r="H351" s="159"/>
    </row>
    <row r="352" spans="7:8" ht="12.75">
      <c r="G352" s="159"/>
      <c r="H352" s="159"/>
    </row>
    <row r="353" spans="7:8" ht="12.75">
      <c r="G353" s="159"/>
      <c r="H353" s="159"/>
    </row>
    <row r="354" spans="7:8" ht="12.75">
      <c r="G354" s="159"/>
      <c r="H354" s="159"/>
    </row>
    <row r="355" spans="7:8" ht="12.75">
      <c r="G355" s="159"/>
      <c r="H355" s="159"/>
    </row>
    <row r="356" spans="7:8" ht="12.75">
      <c r="G356" s="159"/>
      <c r="H356" s="159"/>
    </row>
    <row r="357" spans="7:8" ht="12.75">
      <c r="G357" s="159"/>
      <c r="H357" s="159"/>
    </row>
    <row r="358" spans="7:8" ht="12.75">
      <c r="G358" s="159"/>
      <c r="H358" s="159"/>
    </row>
    <row r="359" spans="7:8" ht="12.75">
      <c r="G359" s="159"/>
      <c r="H359" s="159"/>
    </row>
    <row r="360" spans="7:8" ht="12.75">
      <c r="G360" s="159"/>
      <c r="H360" s="159"/>
    </row>
    <row r="361" spans="7:8" ht="12.75">
      <c r="G361" s="159"/>
      <c r="H361" s="159"/>
    </row>
    <row r="362" spans="7:8" ht="12.75">
      <c r="G362" s="159"/>
      <c r="H362" s="159"/>
    </row>
    <row r="363" spans="7:8" ht="12.75">
      <c r="G363" s="159"/>
      <c r="H363" s="159"/>
    </row>
    <row r="364" spans="7:8" ht="12.75">
      <c r="G364" s="159"/>
      <c r="H364" s="159"/>
    </row>
    <row r="365" spans="7:8" ht="12.75">
      <c r="G365" s="159"/>
      <c r="H365" s="159"/>
    </row>
    <row r="366" spans="7:8" ht="12.75">
      <c r="G366" s="159"/>
      <c r="H366" s="159"/>
    </row>
    <row r="367" spans="7:8" ht="12.75">
      <c r="G367" s="159"/>
      <c r="H367" s="159"/>
    </row>
    <row r="368" spans="7:8" ht="12.75">
      <c r="G368" s="159"/>
      <c r="H368" s="159"/>
    </row>
    <row r="369" spans="7:8" ht="12.75">
      <c r="G369" s="159"/>
      <c r="H369" s="159"/>
    </row>
    <row r="370" spans="7:8" ht="12.75">
      <c r="G370" s="159"/>
      <c r="H370" s="159"/>
    </row>
    <row r="371" spans="7:8" ht="12.75">
      <c r="G371" s="159"/>
      <c r="H371" s="159"/>
    </row>
    <row r="372" spans="7:8" ht="12.75">
      <c r="G372" s="159"/>
      <c r="H372" s="159"/>
    </row>
    <row r="373" spans="7:8" ht="12.75">
      <c r="G373" s="159"/>
      <c r="H373" s="159"/>
    </row>
    <row r="374" spans="7:8" ht="12.75">
      <c r="G374" s="159"/>
      <c r="H374" s="159"/>
    </row>
    <row r="375" spans="7:8" ht="12.75">
      <c r="G375" s="159"/>
      <c r="H375" s="159"/>
    </row>
    <row r="376" spans="7:8" ht="12.75">
      <c r="G376" s="159"/>
      <c r="H376" s="159"/>
    </row>
    <row r="377" spans="7:8" ht="12.75">
      <c r="G377" s="159"/>
      <c r="H377" s="159"/>
    </row>
    <row r="378" spans="7:8" ht="12.75">
      <c r="G378" s="159"/>
      <c r="H378" s="159"/>
    </row>
    <row r="379" spans="7:8" ht="12.75">
      <c r="G379" s="159"/>
      <c r="H379" s="159"/>
    </row>
    <row r="380" spans="7:8" ht="12.75">
      <c r="G380" s="159"/>
      <c r="H380" s="159"/>
    </row>
    <row r="381" spans="7:8" ht="12.75">
      <c r="G381" s="159"/>
      <c r="H381" s="159"/>
    </row>
    <row r="382" spans="7:8" ht="12.75">
      <c r="G382" s="159"/>
      <c r="H382" s="159"/>
    </row>
    <row r="383" spans="7:8" ht="12.75">
      <c r="G383" s="159"/>
      <c r="H383" s="159"/>
    </row>
    <row r="384" spans="7:8" ht="12.75">
      <c r="G384" s="159"/>
      <c r="H384" s="159"/>
    </row>
    <row r="385" spans="7:8" ht="12.75">
      <c r="G385" s="159"/>
      <c r="H385" s="159"/>
    </row>
    <row r="386" spans="7:8" ht="12.75">
      <c r="G386" s="159"/>
      <c r="H386" s="159"/>
    </row>
    <row r="387" spans="7:8" ht="12.75">
      <c r="G387" s="159"/>
      <c r="H387" s="159"/>
    </row>
    <row r="388" spans="7:8" ht="12.75">
      <c r="G388" s="159"/>
      <c r="H388" s="159"/>
    </row>
    <row r="389" spans="7:8" ht="12.75">
      <c r="G389" s="159"/>
      <c r="H389" s="159"/>
    </row>
    <row r="390" spans="7:8" ht="12.75">
      <c r="G390" s="159"/>
      <c r="H390" s="159"/>
    </row>
    <row r="391" spans="7:8" ht="12.75">
      <c r="G391" s="159"/>
      <c r="H391" s="159"/>
    </row>
    <row r="392" spans="7:8" ht="12.75">
      <c r="G392" s="159"/>
      <c r="H392" s="159"/>
    </row>
    <row r="393" spans="7:8" ht="12.75">
      <c r="G393" s="159"/>
      <c r="H393" s="159"/>
    </row>
    <row r="394" spans="7:8" ht="12.75">
      <c r="G394" s="159"/>
      <c r="H394" s="159"/>
    </row>
    <row r="395" spans="7:8" ht="12.75">
      <c r="G395" s="159"/>
      <c r="H395" s="159"/>
    </row>
    <row r="396" spans="7:8" ht="12.75">
      <c r="G396" s="159"/>
      <c r="H396" s="159"/>
    </row>
    <row r="397" spans="7:8" ht="12.75">
      <c r="G397" s="159"/>
      <c r="H397" s="159"/>
    </row>
    <row r="398" spans="7:8" ht="12.75">
      <c r="G398" s="159"/>
      <c r="H398" s="159"/>
    </row>
    <row r="399" spans="7:8" ht="12.75">
      <c r="G399" s="159"/>
      <c r="H399" s="159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116876.70000000001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469433.39999999997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116876.70000000001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2019-02-01T11:03:30Z</cp:lastPrinted>
  <dcterms:created xsi:type="dcterms:W3CDTF">2000-06-20T04:48:00Z</dcterms:created>
  <dcterms:modified xsi:type="dcterms:W3CDTF">2019-02-01T11:06:24Z</dcterms:modified>
  <cp:category/>
  <cp:version/>
  <cp:contentType/>
  <cp:contentStatus/>
</cp:coreProperties>
</file>